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Estimated Capital Outlays" sheetId="2" r:id="rId1"/>
    <sheet name="Proforma Costs" sheetId="3" r:id="rId2"/>
    <sheet name="Proforma Costs Low to Hi" sheetId="4" r:id="rId3"/>
  </sheets>
  <definedNames>
    <definedName name="_xlnm.Print_Area" localSheetId="0">'Estimated Capital Outlays'!$A$1:$I$48</definedName>
    <definedName name="_xlnm.Print_Area" localSheetId="1">'Proforma Costs'!$A$1:$AH$98</definedName>
  </definedNames>
  <calcPr calcId="145621"/>
</workbook>
</file>

<file path=xl/calcChain.xml><?xml version="1.0" encoding="utf-8"?>
<calcChain xmlns="http://schemas.openxmlformats.org/spreadsheetml/2006/main">
  <c r="AB94" i="4" l="1"/>
  <c r="AE94" i="4" s="1"/>
  <c r="Z94" i="4"/>
  <c r="X94" i="4"/>
  <c r="R94" i="4"/>
  <c r="AB98" i="4"/>
  <c r="AE98" i="4" s="1"/>
  <c r="Z98" i="4"/>
  <c r="X98" i="4"/>
  <c r="AE69" i="4"/>
  <c r="AB69" i="4"/>
  <c r="Z69" i="4"/>
  <c r="R69" i="4"/>
  <c r="X69" i="4" s="1"/>
  <c r="AE24" i="4"/>
  <c r="AC24" i="4"/>
  <c r="U24" i="4"/>
  <c r="Z24" i="4" s="1"/>
  <c r="Q24" i="4"/>
  <c r="C24" i="4"/>
  <c r="AE42" i="4"/>
  <c r="AC42" i="4"/>
  <c r="T42" i="4"/>
  <c r="Z42" i="4" s="1"/>
  <c r="Q42" i="4"/>
  <c r="C42" i="4"/>
  <c r="E42" i="4" s="1"/>
  <c r="AC43" i="4"/>
  <c r="AE43" i="4" s="1"/>
  <c r="Z43" i="4"/>
  <c r="Q43" i="4"/>
  <c r="C43" i="4"/>
  <c r="G43" i="4" s="1"/>
  <c r="AC12" i="4"/>
  <c r="AE12" i="4" s="1"/>
  <c r="U12" i="4"/>
  <c r="Z12" i="4" s="1"/>
  <c r="Q12" i="4"/>
  <c r="I12" i="4"/>
  <c r="G12" i="4"/>
  <c r="E12" i="4"/>
  <c r="C12" i="4"/>
  <c r="AC30" i="4"/>
  <c r="AE30" i="4" s="1"/>
  <c r="T30" i="4"/>
  <c r="Z30" i="4" s="1"/>
  <c r="Q30" i="4"/>
  <c r="C30" i="4"/>
  <c r="AE32" i="4"/>
  <c r="AC32" i="4"/>
  <c r="Z32" i="4"/>
  <c r="Q32" i="4"/>
  <c r="G32" i="4"/>
  <c r="C32" i="4"/>
  <c r="AC8" i="4"/>
  <c r="AE8" i="4" s="1"/>
  <c r="Z8" i="4"/>
  <c r="U8" i="4"/>
  <c r="Q8" i="4"/>
  <c r="C8" i="4"/>
  <c r="I8" i="4" s="1"/>
  <c r="AE20" i="4"/>
  <c r="AC20" i="4"/>
  <c r="Z20" i="4"/>
  <c r="T20" i="4"/>
  <c r="Q20" i="4"/>
  <c r="C20" i="4"/>
  <c r="G20" i="4" s="1"/>
  <c r="AC22" i="4"/>
  <c r="AE22" i="4" s="1"/>
  <c r="Z22" i="4"/>
  <c r="Q22" i="4"/>
  <c r="C22" i="4"/>
  <c r="AE25" i="4"/>
  <c r="Z25" i="4"/>
  <c r="U25" i="4"/>
  <c r="C25" i="4"/>
  <c r="I25" i="4" s="1"/>
  <c r="AE44" i="4"/>
  <c r="T44" i="4"/>
  <c r="Z44" i="4" s="1"/>
  <c r="C44" i="4"/>
  <c r="E44" i="4" s="1"/>
  <c r="AE45" i="4"/>
  <c r="Z45" i="4"/>
  <c r="C45" i="4"/>
  <c r="G45" i="4" s="1"/>
  <c r="AE13" i="4"/>
  <c r="U13" i="4"/>
  <c r="Z13" i="4" s="1"/>
  <c r="E13" i="4"/>
  <c r="C13" i="4"/>
  <c r="G13" i="4" s="1"/>
  <c r="AE31" i="4"/>
  <c r="T31" i="4"/>
  <c r="Z31" i="4" s="1"/>
  <c r="G31" i="4"/>
  <c r="C31" i="4"/>
  <c r="E31" i="4" s="1"/>
  <c r="AF31" i="4" s="1"/>
  <c r="AG31" i="4" s="1"/>
  <c r="AH31" i="4" s="1"/>
  <c r="AE35" i="4"/>
  <c r="Z35" i="4"/>
  <c r="C35" i="4"/>
  <c r="G35" i="4" s="1"/>
  <c r="AE9" i="4"/>
  <c r="U9" i="4"/>
  <c r="Z9" i="4" s="1"/>
  <c r="C9" i="4"/>
  <c r="G9" i="4" s="1"/>
  <c r="AE21" i="4"/>
  <c r="T21" i="4"/>
  <c r="Z21" i="4" s="1"/>
  <c r="G21" i="4"/>
  <c r="E21" i="4"/>
  <c r="C21" i="4"/>
  <c r="AE23" i="4"/>
  <c r="Z23" i="4"/>
  <c r="C23" i="4"/>
  <c r="G23" i="4" s="1"/>
  <c r="AE62" i="4"/>
  <c r="AB62" i="4"/>
  <c r="U62" i="4"/>
  <c r="Z62" i="4" s="1"/>
  <c r="Q62" i="4"/>
  <c r="O62" i="4"/>
  <c r="K62" i="4"/>
  <c r="C62" i="4"/>
  <c r="I62" i="4" s="1"/>
  <c r="AB84" i="4"/>
  <c r="AE84" i="4" s="1"/>
  <c r="T84" i="4"/>
  <c r="Z84" i="4" s="1"/>
  <c r="Q84" i="4"/>
  <c r="O84" i="4"/>
  <c r="K84" i="4"/>
  <c r="E84" i="4"/>
  <c r="C84" i="4"/>
  <c r="AF84" i="4" s="1"/>
  <c r="AG84" i="4" s="1"/>
  <c r="AH84" i="4" s="1"/>
  <c r="AB86" i="4"/>
  <c r="AE86" i="4" s="1"/>
  <c r="Z86" i="4"/>
  <c r="Q86" i="4"/>
  <c r="O86" i="4"/>
  <c r="K86" i="4"/>
  <c r="E86" i="4"/>
  <c r="AF86" i="4" s="1"/>
  <c r="AG86" i="4" s="1"/>
  <c r="AH86" i="4" s="1"/>
  <c r="C86" i="4"/>
  <c r="AE51" i="4"/>
  <c r="AB51" i="4"/>
  <c r="Z51" i="4"/>
  <c r="U51" i="4"/>
  <c r="Q51" i="4"/>
  <c r="O51" i="4"/>
  <c r="K51" i="4"/>
  <c r="E51" i="4"/>
  <c r="C51" i="4"/>
  <c r="I51" i="4" s="1"/>
  <c r="AF51" i="4" s="1"/>
  <c r="AG51" i="4" s="1"/>
  <c r="AH51" i="4" s="1"/>
  <c r="AB70" i="4"/>
  <c r="AE70" i="4" s="1"/>
  <c r="Z70" i="4"/>
  <c r="T70" i="4"/>
  <c r="Q70" i="4"/>
  <c r="O70" i="4"/>
  <c r="K70" i="4"/>
  <c r="C70" i="4"/>
  <c r="E70" i="4" s="1"/>
  <c r="AF72" i="4"/>
  <c r="AG72" i="4" s="1"/>
  <c r="AH72" i="4" s="1"/>
  <c r="AB72" i="4"/>
  <c r="AE72" i="4" s="1"/>
  <c r="Z72" i="4"/>
  <c r="Q72" i="4"/>
  <c r="O72" i="4"/>
  <c r="K72" i="4"/>
  <c r="C72" i="4"/>
  <c r="E72" i="4" s="1"/>
  <c r="AE36" i="4"/>
  <c r="AB36" i="4"/>
  <c r="Z36" i="4"/>
  <c r="U36" i="4"/>
  <c r="Q36" i="4"/>
  <c r="O36" i="4"/>
  <c r="K36" i="4"/>
  <c r="C36" i="4"/>
  <c r="I36" i="4" s="1"/>
  <c r="AB55" i="4"/>
  <c r="AE55" i="4" s="1"/>
  <c r="Z55" i="4"/>
  <c r="T55" i="4"/>
  <c r="Q55" i="4"/>
  <c r="O55" i="4"/>
  <c r="K55" i="4"/>
  <c r="C55" i="4"/>
  <c r="E55" i="4" s="1"/>
  <c r="AB58" i="4"/>
  <c r="AE58" i="4" s="1"/>
  <c r="Z58" i="4"/>
  <c r="Q58" i="4"/>
  <c r="O58" i="4"/>
  <c r="K58" i="4"/>
  <c r="C58" i="4"/>
  <c r="E58" i="4" s="1"/>
  <c r="AE63" i="4"/>
  <c r="AB63" i="4"/>
  <c r="Z63" i="4"/>
  <c r="U63" i="4"/>
  <c r="N63" i="4"/>
  <c r="K63" i="4"/>
  <c r="C63" i="4"/>
  <c r="AB87" i="4"/>
  <c r="AE87" i="4" s="1"/>
  <c r="T87" i="4"/>
  <c r="Z87" i="4" s="1"/>
  <c r="N87" i="4"/>
  <c r="K87" i="4"/>
  <c r="C87" i="4"/>
  <c r="E87" i="4" s="1"/>
  <c r="AE88" i="4"/>
  <c r="AB88" i="4"/>
  <c r="Z88" i="4"/>
  <c r="N88" i="4"/>
  <c r="K88" i="4"/>
  <c r="E88" i="4"/>
  <c r="C88" i="4"/>
  <c r="AF88" i="4" s="1"/>
  <c r="AG88" i="4" s="1"/>
  <c r="AH88" i="4" s="1"/>
  <c r="AB53" i="4"/>
  <c r="AE53" i="4" s="1"/>
  <c r="U53" i="4"/>
  <c r="Z53" i="4" s="1"/>
  <c r="N53" i="4"/>
  <c r="K53" i="4"/>
  <c r="I53" i="4"/>
  <c r="E53" i="4"/>
  <c r="C53" i="4"/>
  <c r="AB73" i="4"/>
  <c r="AE73" i="4" s="1"/>
  <c r="T73" i="4"/>
  <c r="Z73" i="4" s="1"/>
  <c r="N73" i="4"/>
  <c r="K73" i="4"/>
  <c r="C73" i="4"/>
  <c r="E73" i="4" s="1"/>
  <c r="AB74" i="4"/>
  <c r="AE74" i="4" s="1"/>
  <c r="Z74" i="4"/>
  <c r="N74" i="4"/>
  <c r="K74" i="4"/>
  <c r="C74" i="4"/>
  <c r="AB37" i="4"/>
  <c r="AE37" i="4" s="1"/>
  <c r="Z37" i="4"/>
  <c r="U37" i="4"/>
  <c r="N37" i="4"/>
  <c r="K37" i="4"/>
  <c r="C37" i="4"/>
  <c r="I37" i="4" s="1"/>
  <c r="AE57" i="4"/>
  <c r="AB57" i="4"/>
  <c r="T57" i="4"/>
  <c r="Z57" i="4" s="1"/>
  <c r="N57" i="4"/>
  <c r="K57" i="4"/>
  <c r="C57" i="4"/>
  <c r="AB59" i="4"/>
  <c r="AE59" i="4" s="1"/>
  <c r="Z59" i="4"/>
  <c r="N59" i="4"/>
  <c r="K59" i="4"/>
  <c r="E59" i="4"/>
  <c r="C59" i="4"/>
  <c r="AE18" i="4"/>
  <c r="AC18" i="4"/>
  <c r="U18" i="4"/>
  <c r="Z18" i="4" s="1"/>
  <c r="C18" i="4"/>
  <c r="I18" i="4" s="1"/>
  <c r="AC38" i="4"/>
  <c r="AE38" i="4" s="1"/>
  <c r="Z38" i="4"/>
  <c r="T38" i="4"/>
  <c r="C38" i="4"/>
  <c r="H38" i="4" s="1"/>
  <c r="AC40" i="4"/>
  <c r="AE40" i="4" s="1"/>
  <c r="Z40" i="4"/>
  <c r="C40" i="4"/>
  <c r="AE10" i="4"/>
  <c r="AC10" i="4"/>
  <c r="Z10" i="4"/>
  <c r="U10" i="4"/>
  <c r="C10" i="4"/>
  <c r="I10" i="4" s="1"/>
  <c r="AE26" i="4"/>
  <c r="AC26" i="4"/>
  <c r="Z26" i="4"/>
  <c r="AF26" i="4" s="1"/>
  <c r="AG26" i="4" s="1"/>
  <c r="AH26" i="4" s="1"/>
  <c r="T26" i="4"/>
  <c r="H26" i="4"/>
  <c r="C26" i="4"/>
  <c r="AC28" i="4"/>
  <c r="AE28" i="4" s="1"/>
  <c r="Z28" i="4"/>
  <c r="H28" i="4"/>
  <c r="C28" i="4"/>
  <c r="AC7" i="4"/>
  <c r="AE7" i="4" s="1"/>
  <c r="U7" i="4"/>
  <c r="Z7" i="4" s="1"/>
  <c r="C7" i="4"/>
  <c r="I7" i="4" s="1"/>
  <c r="AE14" i="4"/>
  <c r="AC14" i="4"/>
  <c r="T14" i="4"/>
  <c r="Z14" i="4" s="1"/>
  <c r="C14" i="4"/>
  <c r="AE16" i="4"/>
  <c r="AC16" i="4"/>
  <c r="Z16" i="4"/>
  <c r="C16" i="4"/>
  <c r="AC19" i="4"/>
  <c r="AE19" i="4" s="1"/>
  <c r="Z19" i="4"/>
  <c r="U19" i="4"/>
  <c r="C19" i="4"/>
  <c r="AC39" i="4"/>
  <c r="AE39" i="4" s="1"/>
  <c r="Z39" i="4"/>
  <c r="T39" i="4"/>
  <c r="C39" i="4"/>
  <c r="AC41" i="4"/>
  <c r="AE41" i="4" s="1"/>
  <c r="Z41" i="4"/>
  <c r="C41" i="4"/>
  <c r="AC11" i="4"/>
  <c r="AE11" i="4" s="1"/>
  <c r="U11" i="4"/>
  <c r="Z11" i="4" s="1"/>
  <c r="C11" i="4"/>
  <c r="I11" i="4" s="1"/>
  <c r="AC27" i="4"/>
  <c r="AE27" i="4" s="1"/>
  <c r="T27" i="4"/>
  <c r="Z27" i="4" s="1"/>
  <c r="C27" i="4"/>
  <c r="H27" i="4" s="1"/>
  <c r="AE29" i="4"/>
  <c r="AC29" i="4"/>
  <c r="Z29" i="4"/>
  <c r="C29" i="4"/>
  <c r="AC6" i="4"/>
  <c r="AE6" i="4" s="1"/>
  <c r="Z6" i="4"/>
  <c r="U6" i="4"/>
  <c r="H6" i="4"/>
  <c r="C6" i="4"/>
  <c r="AC15" i="4"/>
  <c r="AE15" i="4" s="1"/>
  <c r="T15" i="4"/>
  <c r="Z15" i="4" s="1"/>
  <c r="H15" i="4"/>
  <c r="C15" i="4"/>
  <c r="AC17" i="4"/>
  <c r="AE17" i="4" s="1"/>
  <c r="Z17" i="4"/>
  <c r="C17" i="4"/>
  <c r="H17" i="4" s="1"/>
  <c r="AB60" i="4"/>
  <c r="AE60" i="4" s="1"/>
  <c r="Z60" i="4"/>
  <c r="U60" i="4"/>
  <c r="O60" i="4"/>
  <c r="K60" i="4"/>
  <c r="I60" i="4"/>
  <c r="C60" i="4"/>
  <c r="F60" i="4" s="1"/>
  <c r="AF60" i="4" s="1"/>
  <c r="AG60" i="4" s="1"/>
  <c r="AH60" i="4" s="1"/>
  <c r="AB79" i="4"/>
  <c r="AE79" i="4" s="1"/>
  <c r="T79" i="4"/>
  <c r="Z79" i="4" s="1"/>
  <c r="O79" i="4"/>
  <c r="K79" i="4"/>
  <c r="C79" i="4"/>
  <c r="AE80" i="4"/>
  <c r="AB80" i="4"/>
  <c r="Z80" i="4"/>
  <c r="O80" i="4"/>
  <c r="K80" i="4"/>
  <c r="C80" i="4"/>
  <c r="AB46" i="4"/>
  <c r="AE46" i="4" s="1"/>
  <c r="Z46" i="4"/>
  <c r="U46" i="4"/>
  <c r="O46" i="4"/>
  <c r="K46" i="4"/>
  <c r="I46" i="4"/>
  <c r="C46" i="4"/>
  <c r="AE64" i="4"/>
  <c r="AB64" i="4"/>
  <c r="Z64" i="4"/>
  <c r="T64" i="4"/>
  <c r="O64" i="4"/>
  <c r="K64" i="4"/>
  <c r="F64" i="4"/>
  <c r="C64" i="4"/>
  <c r="AB66" i="4"/>
  <c r="AE66" i="4" s="1"/>
  <c r="Z66" i="4"/>
  <c r="O66" i="4"/>
  <c r="K66" i="4"/>
  <c r="C66" i="4"/>
  <c r="F66" i="4" s="1"/>
  <c r="AF66" i="4" s="1"/>
  <c r="AG66" i="4" s="1"/>
  <c r="AH66" i="4" s="1"/>
  <c r="AE33" i="4"/>
  <c r="AB33" i="4"/>
  <c r="U33" i="4"/>
  <c r="Z33" i="4" s="1"/>
  <c r="O33" i="4"/>
  <c r="K33" i="4"/>
  <c r="C33" i="4"/>
  <c r="AE48" i="4"/>
  <c r="AB48" i="4"/>
  <c r="T48" i="4"/>
  <c r="Z48" i="4" s="1"/>
  <c r="O48" i="4"/>
  <c r="K48" i="4"/>
  <c r="C48" i="4"/>
  <c r="F48" i="4" s="1"/>
  <c r="AB50" i="4"/>
  <c r="AE50" i="4" s="1"/>
  <c r="Z50" i="4"/>
  <c r="O50" i="4"/>
  <c r="K50" i="4"/>
  <c r="F50" i="4"/>
  <c r="C50" i="4"/>
  <c r="AB61" i="4"/>
  <c r="AE61" i="4" s="1"/>
  <c r="U61" i="4"/>
  <c r="Z61" i="4" s="1"/>
  <c r="N61" i="4"/>
  <c r="K61" i="4"/>
  <c r="F61" i="4"/>
  <c r="C61" i="4"/>
  <c r="I61" i="4" s="1"/>
  <c r="AB81" i="4"/>
  <c r="AE81" i="4" s="1"/>
  <c r="T81" i="4"/>
  <c r="Z81" i="4" s="1"/>
  <c r="N81" i="4"/>
  <c r="K81" i="4"/>
  <c r="C81" i="4"/>
  <c r="F81" i="4" s="1"/>
  <c r="AE82" i="4"/>
  <c r="AB82" i="4"/>
  <c r="Z82" i="4"/>
  <c r="N82" i="4"/>
  <c r="K82" i="4"/>
  <c r="C82" i="4"/>
  <c r="F82" i="4" s="1"/>
  <c r="AE47" i="4"/>
  <c r="AB47" i="4"/>
  <c r="U47" i="4"/>
  <c r="Z47" i="4" s="1"/>
  <c r="N47" i="4"/>
  <c r="K47" i="4"/>
  <c r="F47" i="4"/>
  <c r="C47" i="4"/>
  <c r="I47" i="4" s="1"/>
  <c r="AE65" i="4"/>
  <c r="AB65" i="4"/>
  <c r="T65" i="4"/>
  <c r="Z65" i="4" s="1"/>
  <c r="N65" i="4"/>
  <c r="K65" i="4"/>
  <c r="C65" i="4"/>
  <c r="F65" i="4" s="1"/>
  <c r="AB67" i="4"/>
  <c r="AE67" i="4" s="1"/>
  <c r="Z67" i="4"/>
  <c r="N67" i="4"/>
  <c r="K67" i="4"/>
  <c r="F67" i="4"/>
  <c r="AF67" i="4" s="1"/>
  <c r="AG67" i="4" s="1"/>
  <c r="AH67" i="4" s="1"/>
  <c r="C67" i="4"/>
  <c r="AB34" i="4"/>
  <c r="AE34" i="4" s="1"/>
  <c r="Z34" i="4"/>
  <c r="U34" i="4"/>
  <c r="N34" i="4"/>
  <c r="K34" i="4"/>
  <c r="F34" i="4"/>
  <c r="C34" i="4"/>
  <c r="I34" i="4" s="1"/>
  <c r="AB49" i="4"/>
  <c r="AE49" i="4" s="1"/>
  <c r="T49" i="4"/>
  <c r="Z49" i="4" s="1"/>
  <c r="N49" i="4"/>
  <c r="K49" i="4"/>
  <c r="C49" i="4"/>
  <c r="F49" i="4" s="1"/>
  <c r="AB52" i="4"/>
  <c r="AE52" i="4" s="1"/>
  <c r="Z52" i="4"/>
  <c r="N52" i="4"/>
  <c r="K52" i="4"/>
  <c r="C52" i="4"/>
  <c r="F52" i="4" s="1"/>
  <c r="AE83" i="4"/>
  <c r="Z83" i="4"/>
  <c r="U83" i="4"/>
  <c r="M83" i="4"/>
  <c r="C83" i="4"/>
  <c r="I83" i="4" s="1"/>
  <c r="AE93" i="4"/>
  <c r="Z93" i="4"/>
  <c r="T93" i="4"/>
  <c r="M93" i="4"/>
  <c r="C93" i="4"/>
  <c r="AE95" i="4"/>
  <c r="Z95" i="4"/>
  <c r="M95" i="4"/>
  <c r="C95" i="4"/>
  <c r="AF95" i="4" s="1"/>
  <c r="AG95" i="4" s="1"/>
  <c r="AH95" i="4" s="1"/>
  <c r="AE68" i="4"/>
  <c r="U68" i="4"/>
  <c r="Z68" i="4" s="1"/>
  <c r="M68" i="4"/>
  <c r="I68" i="4"/>
  <c r="C68" i="4"/>
  <c r="AE89" i="4"/>
  <c r="Z89" i="4"/>
  <c r="T89" i="4"/>
  <c r="M89" i="4"/>
  <c r="C89" i="4"/>
  <c r="AE90" i="4"/>
  <c r="Z90" i="4"/>
  <c r="M90" i="4"/>
  <c r="C90" i="4"/>
  <c r="AF90" i="4" s="1"/>
  <c r="AG90" i="4" s="1"/>
  <c r="AH90" i="4" s="1"/>
  <c r="AE54" i="4"/>
  <c r="Z54" i="4"/>
  <c r="U54" i="4"/>
  <c r="M54" i="4"/>
  <c r="I54" i="4"/>
  <c r="C54" i="4"/>
  <c r="AE75" i="4"/>
  <c r="Z75" i="4"/>
  <c r="T75" i="4"/>
  <c r="M75" i="4"/>
  <c r="C75" i="4"/>
  <c r="AE77" i="4"/>
  <c r="Z77" i="4"/>
  <c r="M77" i="4"/>
  <c r="C77" i="4"/>
  <c r="AE85" i="4"/>
  <c r="Z85" i="4"/>
  <c r="U85" i="4"/>
  <c r="L85" i="4"/>
  <c r="C85" i="4"/>
  <c r="AE96" i="4"/>
  <c r="T96" i="4"/>
  <c r="Z96" i="4" s="1"/>
  <c r="L96" i="4"/>
  <c r="C96" i="4"/>
  <c r="AE97" i="4"/>
  <c r="Z97" i="4"/>
  <c r="L97" i="4"/>
  <c r="C97" i="4"/>
  <c r="AF97" i="4" s="1"/>
  <c r="AG97" i="4" s="1"/>
  <c r="AH97" i="4" s="1"/>
  <c r="AE71" i="4"/>
  <c r="U71" i="4"/>
  <c r="Z71" i="4" s="1"/>
  <c r="L71" i="4"/>
  <c r="I71" i="4"/>
  <c r="C71" i="4"/>
  <c r="AE91" i="4"/>
  <c r="Z91" i="4"/>
  <c r="T91" i="4"/>
  <c r="L91" i="4"/>
  <c r="C91" i="4"/>
  <c r="AF91" i="4" s="1"/>
  <c r="AG91" i="4" s="1"/>
  <c r="AH91" i="4" s="1"/>
  <c r="AE92" i="4"/>
  <c r="Z92" i="4"/>
  <c r="L92" i="4"/>
  <c r="C92" i="4"/>
  <c r="AF92" i="4" s="1"/>
  <c r="AG92" i="4" s="1"/>
  <c r="AH92" i="4" s="1"/>
  <c r="AE56" i="4"/>
  <c r="Z56" i="4"/>
  <c r="U56" i="4"/>
  <c r="L56" i="4"/>
  <c r="C56" i="4"/>
  <c r="AE76" i="4"/>
  <c r="T76" i="4"/>
  <c r="Z76" i="4" s="1"/>
  <c r="L76" i="4"/>
  <c r="C76" i="4"/>
  <c r="AF76" i="4" s="1"/>
  <c r="AG76" i="4" s="1"/>
  <c r="AH76" i="4" s="1"/>
  <c r="AE78" i="4"/>
  <c r="Z78" i="4"/>
  <c r="L78" i="4"/>
  <c r="C78" i="4"/>
  <c r="AF78" i="4" s="1"/>
  <c r="AG78" i="4" s="1"/>
  <c r="AH78" i="4" s="1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2" i="4" l="1"/>
  <c r="AG52" i="4" s="1"/>
  <c r="AH52" i="4" s="1"/>
  <c r="AF21" i="4"/>
  <c r="AG21" i="4" s="1"/>
  <c r="AH21" i="4" s="1"/>
  <c r="AF77" i="4"/>
  <c r="AG77" i="4" s="1"/>
  <c r="AH77" i="4" s="1"/>
  <c r="AF75" i="4"/>
  <c r="AG75" i="4" s="1"/>
  <c r="AH75" i="4" s="1"/>
  <c r="AF89" i="4"/>
  <c r="AG89" i="4" s="1"/>
  <c r="AH89" i="4" s="1"/>
  <c r="AF17" i="4"/>
  <c r="AG17" i="4" s="1"/>
  <c r="AH17" i="4" s="1"/>
  <c r="H11" i="4"/>
  <c r="AF11" i="4" s="1"/>
  <c r="AG11" i="4" s="1"/>
  <c r="AH11" i="4" s="1"/>
  <c r="E36" i="4"/>
  <c r="E62" i="4"/>
  <c r="AF62" i="4" s="1"/>
  <c r="AG62" i="4" s="1"/>
  <c r="AH62" i="4" s="1"/>
  <c r="E9" i="4"/>
  <c r="E25" i="4"/>
  <c r="E20" i="4"/>
  <c r="AF20" i="4" s="1"/>
  <c r="AG20" i="4" s="1"/>
  <c r="AH20" i="4" s="1"/>
  <c r="G8" i="4"/>
  <c r="E43" i="4"/>
  <c r="AF43" i="4" s="1"/>
  <c r="AG43" i="4" s="1"/>
  <c r="AH43" i="4" s="1"/>
  <c r="AF69" i="4"/>
  <c r="AG69" i="4" s="1"/>
  <c r="AH69" i="4" s="1"/>
  <c r="AF94" i="4"/>
  <c r="AG94" i="4" s="1"/>
  <c r="AH94" i="4" s="1"/>
  <c r="AF47" i="4"/>
  <c r="AG47" i="4" s="1"/>
  <c r="AH47" i="4" s="1"/>
  <c r="AF81" i="4"/>
  <c r="AG81" i="4" s="1"/>
  <c r="AH81" i="4" s="1"/>
  <c r="AF61" i="4"/>
  <c r="AG61" i="4" s="1"/>
  <c r="AH61" i="4" s="1"/>
  <c r="H18" i="4"/>
  <c r="AF18" i="4" s="1"/>
  <c r="AG18" i="4" s="1"/>
  <c r="AH18" i="4" s="1"/>
  <c r="E57" i="4"/>
  <c r="AF57" i="4" s="1"/>
  <c r="AG57" i="4" s="1"/>
  <c r="AH57" i="4" s="1"/>
  <c r="E23" i="4"/>
  <c r="AF23" i="4" s="1"/>
  <c r="AG23" i="4" s="1"/>
  <c r="AH23" i="4" s="1"/>
  <c r="I9" i="4"/>
  <c r="AF9" i="4" s="1"/>
  <c r="AG9" i="4" s="1"/>
  <c r="AH9" i="4" s="1"/>
  <c r="E35" i="4"/>
  <c r="AF35" i="4" s="1"/>
  <c r="AG35" i="4" s="1"/>
  <c r="AH35" i="4" s="1"/>
  <c r="G25" i="4"/>
  <c r="AF96" i="4"/>
  <c r="AG96" i="4" s="1"/>
  <c r="AH96" i="4" s="1"/>
  <c r="AF93" i="4"/>
  <c r="AG93" i="4" s="1"/>
  <c r="AH93" i="4" s="1"/>
  <c r="H7" i="4"/>
  <c r="AF7" i="4" s="1"/>
  <c r="AG7" i="4" s="1"/>
  <c r="AH7" i="4" s="1"/>
  <c r="AF12" i="4"/>
  <c r="AG12" i="4" s="1"/>
  <c r="AH12" i="4" s="1"/>
  <c r="F80" i="4"/>
  <c r="AF80" i="4"/>
  <c r="AG80" i="4" s="1"/>
  <c r="AH80" i="4" s="1"/>
  <c r="H29" i="4"/>
  <c r="AF29" i="4" s="1"/>
  <c r="AG29" i="4" s="1"/>
  <c r="AH29" i="4" s="1"/>
  <c r="I56" i="4"/>
  <c r="AF56" i="4" s="1"/>
  <c r="AG56" i="4" s="1"/>
  <c r="AH56" i="4" s="1"/>
  <c r="AF68" i="4"/>
  <c r="AG68" i="4" s="1"/>
  <c r="AH68" i="4" s="1"/>
  <c r="AF65" i="4"/>
  <c r="AG65" i="4" s="1"/>
  <c r="AH65" i="4" s="1"/>
  <c r="AF50" i="4"/>
  <c r="AG50" i="4" s="1"/>
  <c r="AH50" i="4" s="1"/>
  <c r="H16" i="4"/>
  <c r="AF16" i="4" s="1"/>
  <c r="AG16" i="4" s="1"/>
  <c r="AH16" i="4" s="1"/>
  <c r="AF59" i="4"/>
  <c r="AG59" i="4" s="1"/>
  <c r="AH59" i="4" s="1"/>
  <c r="E74" i="4"/>
  <c r="AF74" i="4"/>
  <c r="AG74" i="4" s="1"/>
  <c r="AH74" i="4" s="1"/>
  <c r="AF73" i="4"/>
  <c r="AG73" i="4" s="1"/>
  <c r="AH73" i="4" s="1"/>
  <c r="AF87" i="4"/>
  <c r="AG87" i="4" s="1"/>
  <c r="AH87" i="4" s="1"/>
  <c r="AF58" i="4"/>
  <c r="AG58" i="4" s="1"/>
  <c r="AH58" i="4" s="1"/>
  <c r="AF36" i="4"/>
  <c r="AG36" i="4" s="1"/>
  <c r="AH36" i="4" s="1"/>
  <c r="AF98" i="4"/>
  <c r="AG98" i="4" s="1"/>
  <c r="AH98" i="4" s="1"/>
  <c r="I33" i="4"/>
  <c r="F33" i="4"/>
  <c r="AF53" i="4"/>
  <c r="AG53" i="4" s="1"/>
  <c r="AH53" i="4" s="1"/>
  <c r="G22" i="4"/>
  <c r="E22" i="4"/>
  <c r="AF22" i="4" s="1"/>
  <c r="AG22" i="4" s="1"/>
  <c r="AH22" i="4" s="1"/>
  <c r="AF71" i="4"/>
  <c r="AG71" i="4" s="1"/>
  <c r="AH71" i="4" s="1"/>
  <c r="I85" i="4"/>
  <c r="AF85" i="4" s="1"/>
  <c r="AG85" i="4" s="1"/>
  <c r="AH85" i="4" s="1"/>
  <c r="AF49" i="4"/>
  <c r="AG49" i="4" s="1"/>
  <c r="AH49" i="4" s="1"/>
  <c r="AF82" i="4"/>
  <c r="AG82" i="4" s="1"/>
  <c r="AH82" i="4" s="1"/>
  <c r="AF33" i="4"/>
  <c r="AG33" i="4" s="1"/>
  <c r="AH33" i="4" s="1"/>
  <c r="AF64" i="4"/>
  <c r="AG64" i="4" s="1"/>
  <c r="AH64" i="4" s="1"/>
  <c r="AF15" i="4"/>
  <c r="AG15" i="4" s="1"/>
  <c r="AH15" i="4" s="1"/>
  <c r="I6" i="4"/>
  <c r="AF6" i="4" s="1"/>
  <c r="AG6" i="4" s="1"/>
  <c r="AH6" i="4" s="1"/>
  <c r="H39" i="4"/>
  <c r="AF39" i="4" s="1"/>
  <c r="AG39" i="4" s="1"/>
  <c r="AH39" i="4" s="1"/>
  <c r="H14" i="4"/>
  <c r="AF14" i="4" s="1"/>
  <c r="AG14" i="4" s="1"/>
  <c r="AH14" i="4" s="1"/>
  <c r="AF28" i="4"/>
  <c r="AG28" i="4" s="1"/>
  <c r="AH28" i="4" s="1"/>
  <c r="AF38" i="4"/>
  <c r="AG38" i="4" s="1"/>
  <c r="AH38" i="4" s="1"/>
  <c r="I63" i="4"/>
  <c r="E63" i="4"/>
  <c r="AF63" i="4" s="1"/>
  <c r="AG63" i="4" s="1"/>
  <c r="AH63" i="4" s="1"/>
  <c r="AF54" i="4"/>
  <c r="AG54" i="4" s="1"/>
  <c r="AH54" i="4" s="1"/>
  <c r="AF83" i="4"/>
  <c r="AG83" i="4" s="1"/>
  <c r="AH83" i="4" s="1"/>
  <c r="AF34" i="4"/>
  <c r="AG34" i="4" s="1"/>
  <c r="AH34" i="4" s="1"/>
  <c r="F79" i="4"/>
  <c r="AF79" i="4" s="1"/>
  <c r="AG79" i="4" s="1"/>
  <c r="AH79" i="4" s="1"/>
  <c r="H19" i="4"/>
  <c r="I19" i="4"/>
  <c r="AF19" i="4" s="1"/>
  <c r="AG19" i="4" s="1"/>
  <c r="AH19" i="4" s="1"/>
  <c r="AF55" i="4"/>
  <c r="AG55" i="4" s="1"/>
  <c r="AH55" i="4" s="1"/>
  <c r="AF70" i="4"/>
  <c r="AG70" i="4" s="1"/>
  <c r="AH70" i="4" s="1"/>
  <c r="G44" i="4"/>
  <c r="AF44" i="4"/>
  <c r="AG44" i="4" s="1"/>
  <c r="AH44" i="4" s="1"/>
  <c r="G30" i="4"/>
  <c r="E30" i="4"/>
  <c r="AF30" i="4"/>
  <c r="AG30" i="4" s="1"/>
  <c r="AH30" i="4" s="1"/>
  <c r="AF48" i="4"/>
  <c r="AG48" i="4" s="1"/>
  <c r="AH48" i="4" s="1"/>
  <c r="F46" i="4"/>
  <c r="AF46" i="4" s="1"/>
  <c r="AG46" i="4" s="1"/>
  <c r="AH46" i="4" s="1"/>
  <c r="I13" i="4"/>
  <c r="AF13" i="4" s="1"/>
  <c r="AG13" i="4" s="1"/>
  <c r="AH13" i="4" s="1"/>
  <c r="E45" i="4"/>
  <c r="AF45" i="4" s="1"/>
  <c r="AG45" i="4" s="1"/>
  <c r="AH45" i="4" s="1"/>
  <c r="G24" i="4"/>
  <c r="E24" i="4"/>
  <c r="I24" i="4"/>
  <c r="AF27" i="4"/>
  <c r="AG27" i="4" s="1"/>
  <c r="AH27" i="4" s="1"/>
  <c r="H41" i="4"/>
  <c r="AF41" i="4" s="1"/>
  <c r="AG41" i="4" s="1"/>
  <c r="AH41" i="4" s="1"/>
  <c r="H10" i="4"/>
  <c r="AF10" i="4" s="1"/>
  <c r="AG10" i="4" s="1"/>
  <c r="AH10" i="4" s="1"/>
  <c r="H40" i="4"/>
  <c r="AF40" i="4" s="1"/>
  <c r="AG40" i="4" s="1"/>
  <c r="AH40" i="4" s="1"/>
  <c r="E37" i="4"/>
  <c r="AF37" i="4" s="1"/>
  <c r="AG37" i="4" s="1"/>
  <c r="AH37" i="4" s="1"/>
  <c r="E8" i="4"/>
  <c r="AF8" i="4" s="1"/>
  <c r="AG8" i="4" s="1"/>
  <c r="AH8" i="4" s="1"/>
  <c r="E32" i="4"/>
  <c r="AF32" i="4" s="1"/>
  <c r="AG32" i="4" s="1"/>
  <c r="AH32" i="4" s="1"/>
  <c r="G42" i="4"/>
  <c r="AF42" i="4" s="1"/>
  <c r="AG42" i="4" s="1"/>
  <c r="AH42" i="4" s="1"/>
  <c r="Z97" i="3"/>
  <c r="Z98" i="3"/>
  <c r="Z96" i="3"/>
  <c r="J39" i="2"/>
  <c r="J34" i="2"/>
  <c r="J35" i="2"/>
  <c r="J36" i="2"/>
  <c r="J37" i="2"/>
  <c r="J33" i="2"/>
  <c r="AF24" i="4" l="1"/>
  <c r="AG24" i="4" s="1"/>
  <c r="AH24" i="4" s="1"/>
  <c r="AF25" i="4"/>
  <c r="AG25" i="4" s="1"/>
  <c r="AH25" i="4" s="1"/>
  <c r="AB70" i="3"/>
  <c r="AB71" i="3"/>
  <c r="AB72" i="3"/>
  <c r="AB73" i="3"/>
  <c r="AB74" i="3"/>
  <c r="AB75" i="3"/>
  <c r="AB76" i="3"/>
  <c r="AB77" i="3"/>
  <c r="AB69" i="3"/>
  <c r="AB34" i="3"/>
  <c r="AB35" i="3"/>
  <c r="AB36" i="3"/>
  <c r="AB37" i="3"/>
  <c r="AB38" i="3"/>
  <c r="AB39" i="3"/>
  <c r="AB40" i="3"/>
  <c r="AB41" i="3"/>
  <c r="AB33" i="3"/>
  <c r="AE89" i="3" l="1"/>
  <c r="AE92" i="3"/>
  <c r="AE95" i="3"/>
  <c r="AC88" i="3"/>
  <c r="AE88" i="3" s="1"/>
  <c r="AC89" i="3"/>
  <c r="AC90" i="3"/>
  <c r="AE90" i="3" s="1"/>
  <c r="AC91" i="3"/>
  <c r="AE91" i="3" s="1"/>
  <c r="AC92" i="3"/>
  <c r="AC93" i="3"/>
  <c r="AE93" i="3" s="1"/>
  <c r="AC94" i="3"/>
  <c r="AE94" i="3" s="1"/>
  <c r="AC95" i="3"/>
  <c r="AC87" i="3"/>
  <c r="AE87" i="3" s="1"/>
  <c r="Z87" i="3"/>
  <c r="Z88" i="3"/>
  <c r="Z90" i="3"/>
  <c r="Z91" i="3"/>
  <c r="Z93" i="3"/>
  <c r="Z94" i="3"/>
  <c r="U89" i="3"/>
  <c r="Z89" i="3" s="1"/>
  <c r="U92" i="3"/>
  <c r="Z92" i="3" s="1"/>
  <c r="U95" i="3"/>
  <c r="Z95" i="3" s="1"/>
  <c r="T88" i="3"/>
  <c r="T91" i="3"/>
  <c r="T94" i="3"/>
  <c r="Q87" i="3"/>
  <c r="Q88" i="3"/>
  <c r="Q89" i="3"/>
  <c r="Q90" i="3"/>
  <c r="Q91" i="3"/>
  <c r="Q92" i="3"/>
  <c r="Q93" i="3"/>
  <c r="Q94" i="3"/>
  <c r="Q95" i="3"/>
  <c r="I95" i="3"/>
  <c r="E89" i="3"/>
  <c r="E95" i="3"/>
  <c r="AG95" i="3" s="1"/>
  <c r="AH95" i="3" s="1"/>
  <c r="C87" i="3"/>
  <c r="G87" i="3" s="1"/>
  <c r="C88" i="3"/>
  <c r="G88" i="3" s="1"/>
  <c r="C89" i="3"/>
  <c r="G89" i="3" s="1"/>
  <c r="C90" i="3"/>
  <c r="C91" i="3"/>
  <c r="C92" i="3"/>
  <c r="C93" i="3"/>
  <c r="G93" i="3" s="1"/>
  <c r="C94" i="3"/>
  <c r="G94" i="3" s="1"/>
  <c r="C95" i="3"/>
  <c r="G95" i="3" s="1"/>
  <c r="AE77" i="3"/>
  <c r="AE76" i="3"/>
  <c r="AE75" i="3"/>
  <c r="AE74" i="3"/>
  <c r="AE73" i="3"/>
  <c r="AE72" i="3"/>
  <c r="AE71" i="3"/>
  <c r="AE70" i="3"/>
  <c r="AE69" i="3"/>
  <c r="Z69" i="3"/>
  <c r="Z72" i="3"/>
  <c r="Z74" i="3"/>
  <c r="Z75" i="3"/>
  <c r="U71" i="3"/>
  <c r="Z71" i="3" s="1"/>
  <c r="U74" i="3"/>
  <c r="U77" i="3"/>
  <c r="Z77" i="3" s="1"/>
  <c r="T70" i="3"/>
  <c r="Z70" i="3" s="1"/>
  <c r="T73" i="3"/>
  <c r="Z73" i="3" s="1"/>
  <c r="T76" i="3"/>
  <c r="Z76" i="3" s="1"/>
  <c r="AG76" i="3" s="1"/>
  <c r="AH76" i="3" s="1"/>
  <c r="Q70" i="3"/>
  <c r="Q71" i="3"/>
  <c r="Q72" i="3"/>
  <c r="Q73" i="3"/>
  <c r="Q74" i="3"/>
  <c r="Q75" i="3"/>
  <c r="Q76" i="3"/>
  <c r="Q77" i="3"/>
  <c r="Q69" i="3"/>
  <c r="O77" i="3"/>
  <c r="O70" i="3"/>
  <c r="O71" i="3"/>
  <c r="O72" i="3"/>
  <c r="O73" i="3"/>
  <c r="O74" i="3"/>
  <c r="O75" i="3"/>
  <c r="O76" i="3"/>
  <c r="O69" i="3"/>
  <c r="K69" i="3"/>
  <c r="K70" i="3"/>
  <c r="K71" i="3"/>
  <c r="K72" i="3"/>
  <c r="K73" i="3"/>
  <c r="K74" i="3"/>
  <c r="K75" i="3"/>
  <c r="K76" i="3"/>
  <c r="K77" i="3"/>
  <c r="E71" i="3"/>
  <c r="E77" i="3"/>
  <c r="C69" i="3"/>
  <c r="E69" i="3" s="1"/>
  <c r="C70" i="3"/>
  <c r="E70" i="3" s="1"/>
  <c r="C71" i="3"/>
  <c r="I71" i="3" s="1"/>
  <c r="C72" i="3"/>
  <c r="E72" i="3" s="1"/>
  <c r="C73" i="3"/>
  <c r="E73" i="3" s="1"/>
  <c r="C74" i="3"/>
  <c r="I74" i="3" s="1"/>
  <c r="C75" i="3"/>
  <c r="E75" i="3" s="1"/>
  <c r="C76" i="3"/>
  <c r="E76" i="3" s="1"/>
  <c r="C77" i="3"/>
  <c r="I77" i="3" s="1"/>
  <c r="AE56" i="3"/>
  <c r="AE52" i="3"/>
  <c r="Z51" i="3"/>
  <c r="Z54" i="3"/>
  <c r="Z57" i="3"/>
  <c r="AC52" i="3"/>
  <c r="AC53" i="3"/>
  <c r="AE53" i="3" s="1"/>
  <c r="AC54" i="3"/>
  <c r="AE54" i="3" s="1"/>
  <c r="AC55" i="3"/>
  <c r="AE55" i="3" s="1"/>
  <c r="AC56" i="3"/>
  <c r="AC57" i="3"/>
  <c r="AE57" i="3" s="1"/>
  <c r="AC58" i="3"/>
  <c r="AE58" i="3" s="1"/>
  <c r="AC59" i="3"/>
  <c r="AE59" i="3" s="1"/>
  <c r="AC51" i="3"/>
  <c r="AE51" i="3" s="1"/>
  <c r="U53" i="3"/>
  <c r="Z53" i="3" s="1"/>
  <c r="U56" i="3"/>
  <c r="Z56" i="3" s="1"/>
  <c r="U59" i="3"/>
  <c r="Z59" i="3" s="1"/>
  <c r="T52" i="3"/>
  <c r="Z52" i="3" s="1"/>
  <c r="T55" i="3"/>
  <c r="Z55" i="3" s="1"/>
  <c r="T58" i="3"/>
  <c r="Z58" i="3" s="1"/>
  <c r="H52" i="3"/>
  <c r="H58" i="3"/>
  <c r="C51" i="3"/>
  <c r="C52" i="3"/>
  <c r="C53" i="3"/>
  <c r="H53" i="3" s="1"/>
  <c r="C54" i="3"/>
  <c r="H54" i="3" s="1"/>
  <c r="C55" i="3"/>
  <c r="H55" i="3" s="1"/>
  <c r="C56" i="3"/>
  <c r="I56" i="3" s="1"/>
  <c r="C57" i="3"/>
  <c r="C58" i="3"/>
  <c r="C59" i="3"/>
  <c r="H59" i="3" s="1"/>
  <c r="AE41" i="3"/>
  <c r="AE40" i="3"/>
  <c r="AE39" i="3"/>
  <c r="AE38" i="3"/>
  <c r="AE37" i="3"/>
  <c r="AE36" i="3"/>
  <c r="AE35" i="3"/>
  <c r="AE34" i="3"/>
  <c r="AE33" i="3"/>
  <c r="Z33" i="3"/>
  <c r="Z36" i="3"/>
  <c r="Z37" i="3"/>
  <c r="Z38" i="3"/>
  <c r="Z39" i="3"/>
  <c r="U38" i="3"/>
  <c r="U41" i="3"/>
  <c r="Z41" i="3" s="1"/>
  <c r="U35" i="3"/>
  <c r="Z35" i="3" s="1"/>
  <c r="T34" i="3"/>
  <c r="Z34" i="3" s="1"/>
  <c r="T37" i="3"/>
  <c r="T40" i="3"/>
  <c r="Z40" i="3" s="1"/>
  <c r="O34" i="3"/>
  <c r="O35" i="3"/>
  <c r="O36" i="3"/>
  <c r="O37" i="3"/>
  <c r="O38" i="3"/>
  <c r="O39" i="3"/>
  <c r="O40" i="3"/>
  <c r="O41" i="3"/>
  <c r="O33" i="3"/>
  <c r="K33" i="3"/>
  <c r="K34" i="3"/>
  <c r="K35" i="3"/>
  <c r="K36" i="3"/>
  <c r="K37" i="3"/>
  <c r="K38" i="3"/>
  <c r="K39" i="3"/>
  <c r="K40" i="3"/>
  <c r="K41" i="3"/>
  <c r="I38" i="3"/>
  <c r="F37" i="3"/>
  <c r="C33" i="3"/>
  <c r="F33" i="3" s="1"/>
  <c r="C34" i="3"/>
  <c r="F34" i="3" s="1"/>
  <c r="C35" i="3"/>
  <c r="F35" i="3" s="1"/>
  <c r="C36" i="3"/>
  <c r="F36" i="3" s="1"/>
  <c r="C37" i="3"/>
  <c r="C38" i="3"/>
  <c r="F38" i="3" s="1"/>
  <c r="C39" i="3"/>
  <c r="F39" i="3" s="1"/>
  <c r="C40" i="3"/>
  <c r="F40" i="3" s="1"/>
  <c r="C41" i="3"/>
  <c r="I41" i="3" s="1"/>
  <c r="AE23" i="3"/>
  <c r="AE22" i="3"/>
  <c r="AE21" i="3"/>
  <c r="AE20" i="3"/>
  <c r="AE19" i="3"/>
  <c r="AE18" i="3"/>
  <c r="AE17" i="3"/>
  <c r="AE16" i="3"/>
  <c r="AE15" i="3"/>
  <c r="Z15" i="3"/>
  <c r="Z17" i="3"/>
  <c r="Z18" i="3"/>
  <c r="Z21" i="3"/>
  <c r="U17" i="3"/>
  <c r="U20" i="3"/>
  <c r="Z20" i="3" s="1"/>
  <c r="U23" i="3"/>
  <c r="Z23" i="3" s="1"/>
  <c r="T16" i="3"/>
  <c r="Z16" i="3" s="1"/>
  <c r="AG16" i="3" s="1"/>
  <c r="AH16" i="3" s="1"/>
  <c r="T19" i="3"/>
  <c r="Z19" i="3" s="1"/>
  <c r="T22" i="3"/>
  <c r="Z22" i="3" s="1"/>
  <c r="M16" i="3"/>
  <c r="M17" i="3"/>
  <c r="M18" i="3"/>
  <c r="M19" i="3"/>
  <c r="M20" i="3"/>
  <c r="M21" i="3"/>
  <c r="M22" i="3"/>
  <c r="M23" i="3"/>
  <c r="M15" i="3"/>
  <c r="C15" i="3"/>
  <c r="AG15" i="3" s="1"/>
  <c r="AH15" i="3" s="1"/>
  <c r="C16" i="3"/>
  <c r="C17" i="3"/>
  <c r="I17" i="3" s="1"/>
  <c r="C18" i="3"/>
  <c r="AG18" i="3" s="1"/>
  <c r="AH18" i="3" s="1"/>
  <c r="C19" i="3"/>
  <c r="C20" i="3"/>
  <c r="I20" i="3" s="1"/>
  <c r="C21" i="3"/>
  <c r="AG21" i="3" s="1"/>
  <c r="AH21" i="3" s="1"/>
  <c r="C22" i="3"/>
  <c r="C23" i="3"/>
  <c r="Z6" i="3"/>
  <c r="Z9" i="3"/>
  <c r="Z12" i="3"/>
  <c r="Z24" i="3"/>
  <c r="Z27" i="3"/>
  <c r="Z30" i="3"/>
  <c r="Z42" i="3"/>
  <c r="Z45" i="3"/>
  <c r="Z48" i="3"/>
  <c r="Z60" i="3"/>
  <c r="Z63" i="3"/>
  <c r="Z66" i="3"/>
  <c r="Z78" i="3"/>
  <c r="Z81" i="3"/>
  <c r="Z84" i="3"/>
  <c r="AE78" i="3"/>
  <c r="AE79" i="3"/>
  <c r="AE80" i="3"/>
  <c r="AE81" i="3"/>
  <c r="AE82" i="3"/>
  <c r="AE83" i="3"/>
  <c r="AE84" i="3"/>
  <c r="AE85" i="3"/>
  <c r="AE86" i="3"/>
  <c r="U80" i="3"/>
  <c r="Z80" i="3" s="1"/>
  <c r="U83" i="3"/>
  <c r="Z83" i="3" s="1"/>
  <c r="U86" i="3"/>
  <c r="Z86" i="3" s="1"/>
  <c r="T79" i="3"/>
  <c r="Z79" i="3" s="1"/>
  <c r="T82" i="3"/>
  <c r="Z82" i="3" s="1"/>
  <c r="T85" i="3"/>
  <c r="Z85" i="3" s="1"/>
  <c r="C78" i="3"/>
  <c r="C79" i="3"/>
  <c r="G79" i="3" s="1"/>
  <c r="C80" i="3"/>
  <c r="C81" i="3"/>
  <c r="E81" i="3" s="1"/>
  <c r="C82" i="3"/>
  <c r="E82" i="3" s="1"/>
  <c r="C83" i="3"/>
  <c r="G83" i="3" s="1"/>
  <c r="C84" i="3"/>
  <c r="C85" i="3"/>
  <c r="E85" i="3" s="1"/>
  <c r="C86" i="3"/>
  <c r="I86" i="3" s="1"/>
  <c r="AG51" i="3" l="1"/>
  <c r="AH51" i="3" s="1"/>
  <c r="AG90" i="3"/>
  <c r="AH90" i="3" s="1"/>
  <c r="AG23" i="3"/>
  <c r="AH23" i="3" s="1"/>
  <c r="AG22" i="3"/>
  <c r="AH22" i="3" s="1"/>
  <c r="I35" i="3"/>
  <c r="AG35" i="3" s="1"/>
  <c r="AH35" i="3" s="1"/>
  <c r="H57" i="3"/>
  <c r="AG57" i="3" s="1"/>
  <c r="AH57" i="3" s="1"/>
  <c r="H51" i="3"/>
  <c r="AG52" i="3"/>
  <c r="AH52" i="3" s="1"/>
  <c r="AG70" i="3"/>
  <c r="AH70" i="3" s="1"/>
  <c r="E94" i="3"/>
  <c r="AG94" i="3" s="1"/>
  <c r="AH94" i="3" s="1"/>
  <c r="E88" i="3"/>
  <c r="G91" i="3"/>
  <c r="I92" i="3"/>
  <c r="AG88" i="3"/>
  <c r="AH88" i="3" s="1"/>
  <c r="AG55" i="3"/>
  <c r="AH55" i="3" s="1"/>
  <c r="F41" i="3"/>
  <c r="H56" i="3"/>
  <c r="AG56" i="3" s="1"/>
  <c r="AH56" i="3" s="1"/>
  <c r="I59" i="3"/>
  <c r="AG59" i="3" s="1"/>
  <c r="AH59" i="3" s="1"/>
  <c r="AG72" i="3"/>
  <c r="AH72" i="3" s="1"/>
  <c r="AG77" i="3"/>
  <c r="AH77" i="3" s="1"/>
  <c r="E93" i="3"/>
  <c r="AG93" i="3" s="1"/>
  <c r="AH93" i="3" s="1"/>
  <c r="E87" i="3"/>
  <c r="G90" i="3"/>
  <c r="I89" i="3"/>
  <c r="AG89" i="3" s="1"/>
  <c r="AH89" i="3" s="1"/>
  <c r="AG87" i="3"/>
  <c r="AH87" i="3" s="1"/>
  <c r="AG54" i="3"/>
  <c r="AH54" i="3" s="1"/>
  <c r="G92" i="3"/>
  <c r="E74" i="3"/>
  <c r="E92" i="3"/>
  <c r="AG92" i="3" s="1"/>
  <c r="AH92" i="3" s="1"/>
  <c r="I23" i="3"/>
  <c r="AG19" i="3"/>
  <c r="AH19" i="3" s="1"/>
  <c r="AG39" i="3"/>
  <c r="AH39" i="3" s="1"/>
  <c r="I53" i="3"/>
  <c r="AG73" i="3"/>
  <c r="AH73" i="3" s="1"/>
  <c r="E91" i="3"/>
  <c r="AG91" i="3" s="1"/>
  <c r="AH91" i="3" s="1"/>
  <c r="AG69" i="3"/>
  <c r="AH69" i="3" s="1"/>
  <c r="AG33" i="3"/>
  <c r="AH33" i="3" s="1"/>
  <c r="AG58" i="3"/>
  <c r="AH58" i="3" s="1"/>
  <c r="AG74" i="3"/>
  <c r="AH74" i="3" s="1"/>
  <c r="E90" i="3"/>
  <c r="AG17" i="3"/>
  <c r="AH17" i="3" s="1"/>
  <c r="AG37" i="3"/>
  <c r="AH37" i="3" s="1"/>
  <c r="AG41" i="3"/>
  <c r="AH41" i="3" s="1"/>
  <c r="AG34" i="3"/>
  <c r="AH34" i="3" s="1"/>
  <c r="AG36" i="3"/>
  <c r="AH36" i="3" s="1"/>
  <c r="AG40" i="3"/>
  <c r="AH40" i="3" s="1"/>
  <c r="AG71" i="3"/>
  <c r="AH71" i="3" s="1"/>
  <c r="AG75" i="3"/>
  <c r="AH75" i="3" s="1"/>
  <c r="AG38" i="3"/>
  <c r="AH38" i="3" s="1"/>
  <c r="AG20" i="3"/>
  <c r="AH20" i="3" s="1"/>
  <c r="G86" i="3"/>
  <c r="E86" i="3"/>
  <c r="E78" i="3"/>
  <c r="G82" i="3"/>
  <c r="G78" i="3"/>
  <c r="E84" i="3"/>
  <c r="E80" i="3"/>
  <c r="I83" i="3"/>
  <c r="G85" i="3"/>
  <c r="G81" i="3"/>
  <c r="E83" i="3"/>
  <c r="E79" i="3"/>
  <c r="I80" i="3"/>
  <c r="G84" i="3"/>
  <c r="G80" i="3"/>
  <c r="AG79" i="3" l="1"/>
  <c r="AH79" i="3" s="1"/>
  <c r="AG85" i="3"/>
  <c r="AH85" i="3" s="1"/>
  <c r="AG81" i="3"/>
  <c r="AH81" i="3" s="1"/>
  <c r="AG82" i="3"/>
  <c r="AH82" i="3" s="1"/>
  <c r="AG53" i="3"/>
  <c r="AH53" i="3" s="1"/>
  <c r="AG84" i="3"/>
  <c r="AH84" i="3" s="1"/>
  <c r="AG78" i="3"/>
  <c r="AH78" i="3" s="1"/>
  <c r="AG86" i="3"/>
  <c r="AH86" i="3" s="1"/>
  <c r="AG83" i="3"/>
  <c r="AH83" i="3" s="1"/>
  <c r="AG80" i="3"/>
  <c r="AH80" i="3" s="1"/>
  <c r="AE6" i="3" l="1"/>
  <c r="AE7" i="3"/>
  <c r="AE8" i="3"/>
  <c r="AE9" i="3"/>
  <c r="AE10" i="3"/>
  <c r="AE11" i="3"/>
  <c r="AE12" i="3"/>
  <c r="AE13" i="3"/>
  <c r="AE14" i="3"/>
  <c r="AC43" i="3"/>
  <c r="AE43" i="3" s="1"/>
  <c r="AC44" i="3"/>
  <c r="AE44" i="3" s="1"/>
  <c r="AC45" i="3"/>
  <c r="AE45" i="3" s="1"/>
  <c r="AC46" i="3"/>
  <c r="AE46" i="3" s="1"/>
  <c r="AC47" i="3"/>
  <c r="AE47" i="3" s="1"/>
  <c r="AC48" i="3"/>
  <c r="AE48" i="3" s="1"/>
  <c r="AC49" i="3"/>
  <c r="AE49" i="3" s="1"/>
  <c r="AC50" i="3"/>
  <c r="AE50" i="3" s="1"/>
  <c r="AC42" i="3"/>
  <c r="AE42" i="3" s="1"/>
  <c r="U47" i="3"/>
  <c r="Z47" i="3" s="1"/>
  <c r="U44" i="3"/>
  <c r="Z44" i="3" s="1"/>
  <c r="U50" i="3"/>
  <c r="Z50" i="3" s="1"/>
  <c r="T43" i="3"/>
  <c r="Z43" i="3" s="1"/>
  <c r="T46" i="3"/>
  <c r="Z46" i="3" s="1"/>
  <c r="T49" i="3"/>
  <c r="Z49" i="3" s="1"/>
  <c r="C42" i="3"/>
  <c r="C43" i="3"/>
  <c r="C44" i="3"/>
  <c r="C45" i="3"/>
  <c r="C46" i="3"/>
  <c r="C47" i="3"/>
  <c r="C48" i="3"/>
  <c r="C49" i="3"/>
  <c r="C50" i="3"/>
  <c r="AB24" i="3"/>
  <c r="AE24" i="3" s="1"/>
  <c r="AB25" i="3"/>
  <c r="AE25" i="3" s="1"/>
  <c r="AB26" i="3"/>
  <c r="AE26" i="3" s="1"/>
  <c r="AB27" i="3"/>
  <c r="AE27" i="3" s="1"/>
  <c r="AB28" i="3"/>
  <c r="AE28" i="3" s="1"/>
  <c r="AB29" i="3"/>
  <c r="AE29" i="3" s="1"/>
  <c r="AB30" i="3"/>
  <c r="AE30" i="3" s="1"/>
  <c r="AB31" i="3"/>
  <c r="AE31" i="3" s="1"/>
  <c r="AB32" i="3"/>
  <c r="AE32" i="3" s="1"/>
  <c r="AB60" i="3"/>
  <c r="AE60" i="3" s="1"/>
  <c r="AB61" i="3"/>
  <c r="AE61" i="3" s="1"/>
  <c r="AB62" i="3"/>
  <c r="AE62" i="3" s="1"/>
  <c r="AB63" i="3"/>
  <c r="AE63" i="3" s="1"/>
  <c r="AB64" i="3"/>
  <c r="AE64" i="3" s="1"/>
  <c r="AB65" i="3"/>
  <c r="AE65" i="3" s="1"/>
  <c r="AB66" i="3"/>
  <c r="AE66" i="3" s="1"/>
  <c r="AB67" i="3"/>
  <c r="AE67" i="3" s="1"/>
  <c r="AB68" i="3"/>
  <c r="AE68" i="3" s="1"/>
  <c r="AB96" i="3"/>
  <c r="AE96" i="3" s="1"/>
  <c r="AB97" i="3"/>
  <c r="AE97" i="3" s="1"/>
  <c r="AB98" i="3"/>
  <c r="AE98" i="3" s="1"/>
  <c r="U11" i="3"/>
  <c r="Z11" i="3" s="1"/>
  <c r="U8" i="3"/>
  <c r="Z8" i="3" s="1"/>
  <c r="U14" i="3"/>
  <c r="Z14" i="3" s="1"/>
  <c r="U26" i="3"/>
  <c r="Z26" i="3" s="1"/>
  <c r="U29" i="3"/>
  <c r="Z29" i="3" s="1"/>
  <c r="U32" i="3"/>
  <c r="Z32" i="3" s="1"/>
  <c r="U62" i="3"/>
  <c r="Z62" i="3" s="1"/>
  <c r="U65" i="3"/>
  <c r="Z65" i="3" s="1"/>
  <c r="U68" i="3"/>
  <c r="Z68" i="3" s="1"/>
  <c r="N25" i="3"/>
  <c r="N26" i="3"/>
  <c r="N27" i="3"/>
  <c r="N28" i="3"/>
  <c r="N29" i="3"/>
  <c r="N30" i="3"/>
  <c r="N31" i="3"/>
  <c r="N32" i="3"/>
  <c r="N60" i="3"/>
  <c r="N61" i="3"/>
  <c r="N62" i="3"/>
  <c r="N63" i="3"/>
  <c r="N64" i="3"/>
  <c r="N65" i="3"/>
  <c r="N66" i="3"/>
  <c r="N67" i="3"/>
  <c r="N68" i="3"/>
  <c r="L7" i="3"/>
  <c r="L8" i="3"/>
  <c r="L9" i="3"/>
  <c r="L10" i="3"/>
  <c r="L11" i="3"/>
  <c r="L12" i="3"/>
  <c r="L13" i="3"/>
  <c r="L14" i="3"/>
  <c r="K61" i="3"/>
  <c r="K62" i="3"/>
  <c r="K63" i="3"/>
  <c r="K64" i="3"/>
  <c r="K65" i="3"/>
  <c r="K66" i="3"/>
  <c r="K67" i="3"/>
  <c r="K68" i="3"/>
  <c r="K25" i="3"/>
  <c r="K26" i="3"/>
  <c r="K27" i="3"/>
  <c r="K28" i="3"/>
  <c r="K29" i="3"/>
  <c r="K30" i="3"/>
  <c r="K31" i="3"/>
  <c r="K32" i="3"/>
  <c r="C6" i="3"/>
  <c r="C7" i="3"/>
  <c r="C8" i="3"/>
  <c r="C9" i="3"/>
  <c r="C10" i="3"/>
  <c r="C11" i="3"/>
  <c r="C12" i="3"/>
  <c r="C13" i="3"/>
  <c r="C14" i="3"/>
  <c r="C24" i="3"/>
  <c r="C25" i="3"/>
  <c r="C26" i="3"/>
  <c r="C27" i="3"/>
  <c r="C28" i="3"/>
  <c r="C29" i="3"/>
  <c r="C30" i="3"/>
  <c r="C31" i="3"/>
  <c r="C32" i="3"/>
  <c r="C60" i="3"/>
  <c r="C61" i="3"/>
  <c r="C62" i="3"/>
  <c r="C63" i="3"/>
  <c r="C64" i="3"/>
  <c r="C65" i="3"/>
  <c r="C66" i="3"/>
  <c r="C67" i="3"/>
  <c r="C68" i="3"/>
  <c r="T7" i="3"/>
  <c r="Z7" i="3" s="1"/>
  <c r="T10" i="3"/>
  <c r="Z10" i="3" s="1"/>
  <c r="T13" i="3"/>
  <c r="Z13" i="3" s="1"/>
  <c r="T25" i="3"/>
  <c r="Z25" i="3" s="1"/>
  <c r="T28" i="3"/>
  <c r="Z28" i="3" s="1"/>
  <c r="T31" i="3"/>
  <c r="Z31" i="3" s="1"/>
  <c r="T61" i="3"/>
  <c r="Z61" i="3" s="1"/>
  <c r="T64" i="3"/>
  <c r="Z64" i="3" s="1"/>
  <c r="T67" i="3"/>
  <c r="Z67" i="3" s="1"/>
  <c r="X97" i="3"/>
  <c r="K24" i="3"/>
  <c r="R98" i="3"/>
  <c r="R96" i="3"/>
  <c r="E68" i="3" l="1"/>
  <c r="E67" i="3"/>
  <c r="AG67" i="3" s="1"/>
  <c r="AH67" i="3" s="1"/>
  <c r="F28" i="3"/>
  <c r="AG28" i="3" s="1"/>
  <c r="AH28" i="3" s="1"/>
  <c r="I44" i="3"/>
  <c r="I32" i="3"/>
  <c r="I11" i="3"/>
  <c r="H43" i="3"/>
  <c r="H46" i="3"/>
  <c r="AF97" i="3"/>
  <c r="AG97" i="3" s="1"/>
  <c r="AH97" i="3" s="1"/>
  <c r="E64" i="3"/>
  <c r="AG64" i="3" s="1"/>
  <c r="AH64" i="3" s="1"/>
  <c r="AG10" i="3"/>
  <c r="AH10" i="3" s="1"/>
  <c r="H42" i="3"/>
  <c r="E63" i="3"/>
  <c r="AG63" i="3"/>
  <c r="AH63" i="3" s="1"/>
  <c r="H47" i="3"/>
  <c r="H48" i="3"/>
  <c r="AG48" i="3" s="1"/>
  <c r="AH48" i="3" s="1"/>
  <c r="AG12" i="3"/>
  <c r="AH12" i="3" s="1"/>
  <c r="H44" i="3"/>
  <c r="I62" i="3"/>
  <c r="I14" i="3"/>
  <c r="E65" i="3"/>
  <c r="E61" i="3"/>
  <c r="F30" i="3"/>
  <c r="I26" i="3"/>
  <c r="AG13" i="3"/>
  <c r="AH13" i="3" s="1"/>
  <c r="AG9" i="3"/>
  <c r="AH9" i="3" s="1"/>
  <c r="AG42" i="3"/>
  <c r="AH42" i="3" s="1"/>
  <c r="I68" i="3"/>
  <c r="F29" i="3"/>
  <c r="F25" i="3"/>
  <c r="I8" i="3"/>
  <c r="E62" i="3"/>
  <c r="F27" i="3"/>
  <c r="H50" i="3"/>
  <c r="I50" i="3"/>
  <c r="F31" i="3"/>
  <c r="AG46" i="3"/>
  <c r="AH46" i="3" s="1"/>
  <c r="AG11" i="3"/>
  <c r="AH11" i="3" s="1"/>
  <c r="AG7" i="3"/>
  <c r="AH7" i="3" s="1"/>
  <c r="E66" i="3"/>
  <c r="F32" i="3"/>
  <c r="AG43" i="3"/>
  <c r="AH43" i="3" s="1"/>
  <c r="H49" i="3"/>
  <c r="H45" i="3"/>
  <c r="I47" i="3"/>
  <c r="I29" i="3"/>
  <c r="F26" i="3"/>
  <c r="I65" i="3"/>
  <c r="AG25" i="3" l="1"/>
  <c r="AH25" i="3" s="1"/>
  <c r="AG8" i="3"/>
  <c r="AH8" i="3" s="1"/>
  <c r="AG47" i="3"/>
  <c r="AH47" i="3" s="1"/>
  <c r="AG49" i="3"/>
  <c r="AH49" i="3" s="1"/>
  <c r="AG27" i="3"/>
  <c r="AH27" i="3" s="1"/>
  <c r="AG31" i="3"/>
  <c r="AH31" i="3" s="1"/>
  <c r="AG44" i="3"/>
  <c r="AH44" i="3" s="1"/>
  <c r="AG45" i="3"/>
  <c r="AH45" i="3" s="1"/>
  <c r="AG32" i="3"/>
  <c r="AH32" i="3" s="1"/>
  <c r="AG68" i="3"/>
  <c r="AH68" i="3" s="1"/>
  <c r="AG66" i="3"/>
  <c r="AH66" i="3" s="1"/>
  <c r="AG61" i="3"/>
  <c r="AH61" i="3" s="1"/>
  <c r="AG30" i="3"/>
  <c r="AH30" i="3" s="1"/>
  <c r="AG14" i="3"/>
  <c r="AH14" i="3" s="1"/>
  <c r="AG29" i="3"/>
  <c r="AH29" i="3" s="1"/>
  <c r="AG65" i="3"/>
  <c r="AH65" i="3" s="1"/>
  <c r="AG50" i="3"/>
  <c r="AH50" i="3" s="1"/>
  <c r="AG62" i="3"/>
  <c r="AH62" i="3" s="1"/>
  <c r="AG26" i="3"/>
  <c r="AH26" i="3" s="1"/>
  <c r="K60" i="3" l="1"/>
  <c r="N24" i="3"/>
  <c r="L6" i="3"/>
  <c r="F24" i="3"/>
  <c r="E60" i="3"/>
  <c r="AG60" i="3" l="1"/>
  <c r="AH60" i="3" s="1"/>
  <c r="AG6" i="3"/>
  <c r="AH6" i="3" s="1"/>
  <c r="AG24" i="3"/>
  <c r="AH24" i="3" s="1"/>
  <c r="X98" i="3"/>
  <c r="AF98" i="3" l="1"/>
  <c r="AG98" i="3" s="1"/>
  <c r="AH98" i="3" s="1"/>
  <c r="X96" i="3"/>
  <c r="AF96" i="3" l="1"/>
  <c r="AG96" i="3" s="1"/>
  <c r="AH96" i="3" s="1"/>
  <c r="H32" i="2"/>
  <c r="E39" i="2"/>
  <c r="H29" i="2"/>
  <c r="H28" i="2"/>
  <c r="H26" i="2"/>
  <c r="H25" i="2"/>
  <c r="H20" i="2"/>
  <c r="H21" i="2"/>
  <c r="H22" i="2"/>
  <c r="H23" i="2"/>
  <c r="H19" i="2"/>
  <c r="H17" i="2"/>
  <c r="H16" i="2"/>
  <c r="I16" i="2"/>
  <c r="H7" i="2"/>
  <c r="H8" i="2"/>
  <c r="H9" i="2"/>
  <c r="H10" i="2"/>
  <c r="H11" i="2"/>
  <c r="H12" i="2"/>
  <c r="H13" i="2"/>
  <c r="H14" i="2"/>
  <c r="H15" i="2"/>
  <c r="H18" i="2"/>
  <c r="H24" i="2"/>
  <c r="H27" i="2"/>
  <c r="H6" i="2"/>
  <c r="H39" i="2" l="1"/>
  <c r="H40" i="2" s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6" i="2"/>
  <c r="I31" i="2"/>
  <c r="I30" i="2"/>
  <c r="I24" i="2" l="1"/>
  <c r="I25" i="2"/>
  <c r="I26" i="2"/>
  <c r="I27" i="2"/>
  <c r="I28" i="2"/>
  <c r="I29" i="2"/>
  <c r="I18" i="2"/>
  <c r="I19" i="2"/>
  <c r="I20" i="2"/>
  <c r="I21" i="2"/>
  <c r="I22" i="2"/>
  <c r="I23" i="2"/>
  <c r="I17" i="2"/>
  <c r="I15" i="2"/>
  <c r="I14" i="2"/>
  <c r="I13" i="2"/>
  <c r="I12" i="2"/>
  <c r="I11" i="2"/>
  <c r="I10" i="2"/>
  <c r="I9" i="2"/>
  <c r="I8" i="2"/>
  <c r="I7" i="2"/>
  <c r="I6" i="2"/>
  <c r="I39" i="2" l="1"/>
</calcChain>
</file>

<file path=xl/sharedStrings.xml><?xml version="1.0" encoding="utf-8"?>
<sst xmlns="http://schemas.openxmlformats.org/spreadsheetml/2006/main" count="324" uniqueCount="185">
  <si>
    <t>YEAR</t>
  </si>
  <si>
    <t>Purchase Year</t>
  </si>
  <si>
    <t>Original Purchase Price ($)</t>
  </si>
  <si>
    <t>906A 2001 SpecTEC Transfer Trailer</t>
  </si>
  <si>
    <t>821 2002 Lodal Evo Mag-20 Pack</t>
  </si>
  <si>
    <t>907 2002 International 9200 Semi Tractor</t>
  </si>
  <si>
    <t>824 2004 Lodal Evo Mag-20 Pack</t>
  </si>
  <si>
    <t>827 2005 Lodal Evo Refuse Truck</t>
  </si>
  <si>
    <t>906 2004 Mack Semi Tractor</t>
  </si>
  <si>
    <t>831 2008 Mack Heil Front Loader</t>
  </si>
  <si>
    <t>832 2008 Mack Heil Front Loader</t>
  </si>
  <si>
    <t>843 2009 Knuckleboom Truck</t>
  </si>
  <si>
    <t>833 2011 Mack Front Loader</t>
  </si>
  <si>
    <t>909A 2011 SpecTEC Dump Trailer</t>
  </si>
  <si>
    <t>802 2013 Ford F250 Pick-up truck</t>
  </si>
  <si>
    <t>829 2014 Autocar Front Loader</t>
  </si>
  <si>
    <t>835 2015 Autocar Front Loader</t>
  </si>
  <si>
    <t>TOTAL</t>
  </si>
  <si>
    <t>905A 2003 Spector Transfer Trailer</t>
  </si>
  <si>
    <t>903 2008 International 8600 Semi Tractor</t>
  </si>
  <si>
    <t>810 2009 International Mini Packer</t>
  </si>
  <si>
    <t>902 2012 International 7600 SBA Semi Tractor</t>
  </si>
  <si>
    <t>910A 2013 SpecTEC Semi Trailer</t>
  </si>
  <si>
    <t>904 2013 International 7600 Semi Tractor</t>
  </si>
  <si>
    <t>911A 2015 SpecTEC Closed Trailer</t>
  </si>
  <si>
    <t>911 2014 International 7600 SBA Semi Tractor</t>
  </si>
  <si>
    <t>905 2018 International 7600 Semi Tractor</t>
  </si>
  <si>
    <t>905A 2018 Spector Semi Trailer</t>
  </si>
  <si>
    <t>Description of Current Vehicle</t>
  </si>
  <si>
    <t>Description of Replacement Vehicle</t>
  </si>
  <si>
    <t>Replacement Transfer Station Semi Trailer</t>
  </si>
  <si>
    <t>Replacement Automated Refuse Collection Truck</t>
  </si>
  <si>
    <t>Replacement Transfer Station Semi Tractor</t>
  </si>
  <si>
    <t>Estimated Purchase Price ($)</t>
  </si>
  <si>
    <t>Automated Refuse Collection - Retrofit Conversion</t>
  </si>
  <si>
    <t>Remaining Anticipated Useful Life of Current Asset (Years)</t>
  </si>
  <si>
    <r>
      <t xml:space="preserve">Anticipated Useful Life of Replacement Asset (Years) </t>
    </r>
    <r>
      <rPr>
        <b/>
        <sz val="11"/>
        <color theme="1"/>
        <rFont val="Calibri"/>
        <family val="2"/>
      </rPr>
      <t>¹</t>
    </r>
  </si>
  <si>
    <t xml:space="preserve">**NOTE: Refuse Collection Replacement Vehicles total 5 + 1 new back-up vehicle based on the consolidation of the Refuse Collection Routes from 5 to 4 and the Recycling Routes from 2 to 1. </t>
  </si>
  <si>
    <t>*NOTE: Current Vehicles for both Refuse Collection and Transfer Station that have exceeded their estimated useful life are listed for replacement.</t>
  </si>
  <si>
    <t>***NOTE: The two current refuse collection vehicles with remaining useful life would be retrofitted to operate as additional back-up vehicles</t>
  </si>
  <si>
    <t>²Use of the 65 Gallon Refuse Cart is anticipated by some seniors</t>
  </si>
  <si>
    <t>Annual Amortization Cost Keep Current System</t>
  </si>
  <si>
    <t>Remove Automated Front Container - 6 Trucks + 2 Retro</t>
  </si>
  <si>
    <t>Annual Amortization Cost Convert to Automation</t>
  </si>
  <si>
    <t>Estimated Capital Outlays</t>
  </si>
  <si>
    <t>Current Operating Cost Refuse, Recycling, &amp; Transfer (2018)</t>
  </si>
  <si>
    <t>Estimated Cost Comparison</t>
  </si>
  <si>
    <t>Annual Equipment Amortization Cost Keep Current</t>
  </si>
  <si>
    <t>Estimated Cost Per Ton for Disposal of Solid Waste</t>
  </si>
  <si>
    <t>Estimated Cost Per Ton for Disposal of Recycling</t>
  </si>
  <si>
    <t>Method of Collection/Private Contract</t>
  </si>
  <si>
    <t>Estimated Solid Waste Annual Tonnage (15,500 units @ 1.0 T/unit)</t>
  </si>
  <si>
    <t>Estimated Recycling Annual Tonnage (15,500 units @ .2 T/unit)</t>
  </si>
  <si>
    <t>City of Westlake - Rumpke Contract</t>
  </si>
  <si>
    <t>Estimated Recycling Annual Cost</t>
  </si>
  <si>
    <t>Estimated Solid Waste Annual Collection Cost</t>
  </si>
  <si>
    <t>Estimated Annual Cost for Solid Waste Disposal</t>
  </si>
  <si>
    <t>Olmsted Falls/Olmsted Township - Republic Contract</t>
  </si>
  <si>
    <t>Chagrin Falls - Kimble Contract</t>
  </si>
  <si>
    <t>15,500 - 65 Gallon Recycling Carts $50</t>
  </si>
  <si>
    <t>Annual Cost Recycle Carts 65 Gallon - 1 Per HH - $50 EACH - 10 YRS x (15,500 UNITS)</t>
  </si>
  <si>
    <t>Annual Equipment Amortization Cost to Automate (Equipment Only) - $40,000/Truck - 10 YRS - $4000/truck</t>
  </si>
  <si>
    <t>Current Operating Cost Adjustment through 2020 (2.5%/year)</t>
  </si>
  <si>
    <t>Operating Cost Reduction Automation Recycle Only (3 Recycle - 2; 1 Empl./27 Empl.) 3.7%</t>
  </si>
  <si>
    <t>Annual Cost Refuse Carts 95 Gallon - 1 Per HH - $55 EACH - 10 YRS x (15,500 UNITS)</t>
  </si>
  <si>
    <t>15,500 - 95 Gallon Refuse Carts $55</t>
  </si>
  <si>
    <t>FOR YEAR 2020</t>
  </si>
  <si>
    <t>Operating Cost Reduction Full Automation (5 Refuse - 4, 3 Recycle - 2; 2 Empl./27 Empl.) 7%</t>
  </si>
  <si>
    <t>Annual Cost Recycle Bins 18 GAL - 3 Per HH - $20 EACH ($60/UNIT) - 5 YRS - (15,500 UNITS + 5% extra 775=16275)</t>
  </si>
  <si>
    <t>TOTAL ESTIMATED ANNUAL COST</t>
  </si>
  <si>
    <t>Convert to Automation w/$45/ton recycle fee</t>
  </si>
  <si>
    <t>Convert to Automation w/$80/ton recycle fee</t>
  </si>
  <si>
    <t>TOTAL ESTIMATED COST PER UNIT/YEAR</t>
  </si>
  <si>
    <t>TOTAL ESTIMATED COST PER UNIT/MONTH</t>
  </si>
  <si>
    <t>REVISED 9/11/19</t>
  </si>
  <si>
    <t>Convert to Automation Bulk Once a Month Limited to two items</t>
  </si>
  <si>
    <t>Convert to Automation w/$45/ton recycle fee Bulk Once a Month Limited to two items</t>
  </si>
  <si>
    <t xml:space="preserve">Convert to Automation w/$80/ton recycle fee Bulk Once a Month Limited to two items </t>
  </si>
  <si>
    <t>Annual Cost Per Residential Unit for Collection (15,500 units) est. Seniors 15% 2325 units</t>
  </si>
  <si>
    <t>$207.00 - Sen. $173.40</t>
  </si>
  <si>
    <t>Convert to Automation Bulk Drop off Only</t>
  </si>
  <si>
    <t>Convert to Automation w/$45/ton recycle fee Bulk Drop off Only</t>
  </si>
  <si>
    <t>Convert to Automation w/$80/ton recycle fee Bulk Drop off Only</t>
  </si>
  <si>
    <t>Once a Month (Limited) Bulk Collection Tonnage Reduction - 3% Reduction</t>
  </si>
  <si>
    <t>Bulk Drop-Off Only Tonnage Reduction - 5% Reduction</t>
  </si>
  <si>
    <t>Operating Cost Reduction Eliminate Bulk Collection Drop off Only (2 Operators; 2 Empl./27 Empl.) 7%</t>
  </si>
  <si>
    <t>Estimated Recycling Annual Tonnage Increase - Automation (15,500 units @ .03 T/unit) Est. 13% Increase</t>
  </si>
  <si>
    <t>Estimated Solid Waste Tonnage Reduction for Automated Recycling</t>
  </si>
  <si>
    <t>Operating Cost Reduction Eliminate Curbside Recycling (3 Recycle Operators; 3 Empl./27 Empl.) 11%</t>
  </si>
  <si>
    <t>Estimated Recycling Annual Tonnage Decrease - Drop off - Est. 25% Decrease</t>
  </si>
  <si>
    <t>Estimated Solid Waste Tonnage Increase for Drop of Recycling Recycling</t>
  </si>
  <si>
    <t>Convert to Automation recycle Drop off only</t>
  </si>
  <si>
    <t>Convert to Automation Recycle Drop off Only Bulk Once a Month Limited to two items</t>
  </si>
  <si>
    <t>Convert to Automation Recycle Drop off Only Bulk Drop off Only</t>
  </si>
  <si>
    <t>Convert to Automation recycle drop off only w/$45/ton recycle fee</t>
  </si>
  <si>
    <t>Convert to Automation Recycle Drop off Only w/$45/ton recycle fee Bulk Once a Month Limited to two items</t>
  </si>
  <si>
    <t>Convert to Automation Recycle Drop off Only w/$45/ton recycle fee Bulk Drop off Only</t>
  </si>
  <si>
    <t>Convert to Automation Recycle Drop off Only w/$80/ton recycle fee</t>
  </si>
  <si>
    <t xml:space="preserve">Convert to Automation Recycle Drop off Only w/$80/ton recycle fee Bulk Once a Month Limited to two items </t>
  </si>
  <si>
    <t>Convert to Automation Recycle Drop off Only w/$80/ton recycle fee Bulk Drop off Only</t>
  </si>
  <si>
    <t>ELIM. CS RECYCLE</t>
  </si>
  <si>
    <t>Operating Cost Reduction Automate but eliminate Curbside Recycling - 2 Addl. Operator 7%</t>
  </si>
  <si>
    <t>Keep Current Method w/Recycle Bins</t>
  </si>
  <si>
    <t>Keep Current Method w/Recycle Bins Bulk Once a Month Limited to two items</t>
  </si>
  <si>
    <t>Keep Current Method w/Recycle Bins Bulk Drop off Only</t>
  </si>
  <si>
    <t>Keep Current Method w/Recycle Bins &amp; $45/ton recycle fee</t>
  </si>
  <si>
    <t>Keep Current Method w/Recycle Bins &amp; $45/ton recycle fee Bulk Once a Month Limited to two items</t>
  </si>
  <si>
    <t>Keep Current Method w/Recycle Bins &amp; $45/ton recycle fee Bulk Drop off Only</t>
  </si>
  <si>
    <t>Keep Current Method w/Recycle Bins &amp; $80/ton recycle fee</t>
  </si>
  <si>
    <t>Keep Current Method w/Recycle Bins &amp; $80/ton recycle fee Bulk Once a Month Limited to two items</t>
  </si>
  <si>
    <t>Keep Current Method w/Recycle Bins &amp; $80/ton recycle fee Bulk Drop off Only</t>
  </si>
  <si>
    <t>Keep Current Method Automate Recycle Only</t>
  </si>
  <si>
    <t>Keep Current Method Automate Recycle Only Bulk Once a Month Limited to two items</t>
  </si>
  <si>
    <t>Keep Current Method Automate Recycle Only Bulk Drop off Only</t>
  </si>
  <si>
    <t>Keep Current Method Automate Recycle Only w/$45/ton recycle fee</t>
  </si>
  <si>
    <t>Keep Current Method Automate Recycle Only w/$45/ton recycle fee Bulk Once a Month Limited to two items</t>
  </si>
  <si>
    <t>Keep Current Method Automate Recycle Only w/$45/ton recycle fee Bulk Drop off Only</t>
  </si>
  <si>
    <t>Keep Current Method Automate Recycle Only w/$80/ton recycle fee</t>
  </si>
  <si>
    <t>Keep Current Method Automate Recycle Only w/$80/ton recycle fee Bulk Once a Month Limited to two items</t>
  </si>
  <si>
    <t>Keep Current Method Automate Recycle Only w/$80/ton recycle fee Bulk Drop off Only</t>
  </si>
  <si>
    <t>Keep Current Method Recycle Drop off Only</t>
  </si>
  <si>
    <t>Keep Current Method Recycle Drop off Only Bulk Once a Month Limited to two items</t>
  </si>
  <si>
    <t>Keep Current Method Recycle Drop off Only Bulk Drop off Only</t>
  </si>
  <si>
    <t>Keep Current Method Recycle Drop off Only w/$45/ton recycle fee</t>
  </si>
  <si>
    <t>Keep Current Method Recycle Drop off Only w/$45/ton recycle fee Bulk Once a Month Limited to two items</t>
  </si>
  <si>
    <t>Keep Current Method Recycle Drop off Only w/$45/ton recycle fee Bulk Drop off Only</t>
  </si>
  <si>
    <t>Keep Current Method Recycle Drop off Only w/$80/ton recycle fee</t>
  </si>
  <si>
    <t>Keep Current Method Recycle Drop off Only w/$80/ton recycle fee Bulk Once a Month Limited to two items</t>
  </si>
  <si>
    <t>Keep Current Method Recycle Drop off Only w/$80/ton recycle fee Bulk Drop off Only</t>
  </si>
  <si>
    <t>Keep Current Method w/Recycle Bins Discontinue Apartments</t>
  </si>
  <si>
    <t>Keep Current Method w/Recycle Bins Bulk Once a Month Limited to two items Discontinue Apartments</t>
  </si>
  <si>
    <t>Keep Current Method w/Recycle Bins Bulk Drop off Only Discontinue Apartments</t>
  </si>
  <si>
    <t>Keep Current Method w/Recycle Bins &amp; $45/ton recycle fee Discontinue Apartments</t>
  </si>
  <si>
    <t>Keep Current Method w/Recycle Bins &amp; $45/ton recycle fee Bulk Once a Month Limited to two items Discontinue Apartments</t>
  </si>
  <si>
    <t>Keep Current Method w/Recycle Bins &amp; $45/ton recycle fee Bulk Drop off Only Discontinue Apartments</t>
  </si>
  <si>
    <t>Keep Current Method w/Recycle Bins &amp; $80/ton recycle fee Discontinue Apartments</t>
  </si>
  <si>
    <t>Keep Current Method w/Recycle Bins &amp; $80/ton recycle fee Bulk Once a Month Limited to two items Discontinue Apartments</t>
  </si>
  <si>
    <t>Keep Current Method w/Recycle Bins &amp; $80/ton recycle fee Bulk Drop off Only Discontinue Apartments</t>
  </si>
  <si>
    <t>Annual Cost Recycle Bins  (No Apartments) 18 GAL - 3 Per HH - $20 EACH ($60/UNIT) - 5 YRS - (15,028 UNITS + 5% extra 751=15,779)</t>
  </si>
  <si>
    <t>Keep Current Method Automate Recycle Only Discontinue Apartments</t>
  </si>
  <si>
    <t>Keep Current Method Automate Recycle Only Bulk Once a Month Limited to two items Discontinue Apartments</t>
  </si>
  <si>
    <t>Keep Current Method Automate Recycle Only Bulk Drop off Only Discontinue Apartments</t>
  </si>
  <si>
    <t>Keep Current Method Automate Recycle Only w/$45/ton recycle fee Discontinue Apartments</t>
  </si>
  <si>
    <t>Keep Current Method Automate Recycle Only w/$45/ton recycle fee Bulk Once a Month Limited to two items Discontinue Apartments</t>
  </si>
  <si>
    <t>Keep Current Method Automate Recycle Only w/$45/ton recycle fee Bulk Drop off Only Discontinue Apartments</t>
  </si>
  <si>
    <t>Keep Current Method Automate Recycle Only w/$80/ton recycle fee Discontinue Apartments</t>
  </si>
  <si>
    <t>Keep Current Method Automate Recycle Only w/$80/ton recycle fee Bulk Once a Month Limited to two items Discontinue Apartments</t>
  </si>
  <si>
    <t>Keep Current Method Automate Recycle Only w/$80/ton recycle fee Bulk Drop off Only Discontinue Apartments</t>
  </si>
  <si>
    <t>Annual Cost Recycle Carts 65 Gallon - 1 Per HH No Apartments - $50 EACH - 10 YRS x (15,028 UNITS)</t>
  </si>
  <si>
    <t>Keep Current Method Recycle Drop off Only Discontinue Apartments</t>
  </si>
  <si>
    <t>Keep Current Method Recycle Drop off Only Bulk Once a Month Limited to two items Discontinue Apartments</t>
  </si>
  <si>
    <t>Keep Current Method Recycle Drop off Only Bulk Drop off Only Discontinue Apartments</t>
  </si>
  <si>
    <t>Keep Current Method Recycle Drop off Only w/$45/ton recycle fee Discontinue Apartments</t>
  </si>
  <si>
    <t>Keep Current Method Recycle Drop off Only w/$45/ton recycle fee Bulk Once a Month Limited to two items Discontinue Apartments</t>
  </si>
  <si>
    <t>Keep Current Method Recycle Drop off Only w/$45/ton recycle fee Bulk Drop off Only Discontinue Apartments</t>
  </si>
  <si>
    <t>Keep Current Method Recycle Drop off Only w/$80/ton recycle fee Discontinue Apartments</t>
  </si>
  <si>
    <t>Keep Current Method Recycle Drop off Only w/$80/ton recycle fee Bulk Once a Month Limited to two items Discontinue Apartments</t>
  </si>
  <si>
    <t>Keep Current Method Recycle Drop off Only w/$80/ton recycle fee Bulk Drop off Only Discontinue Apartments</t>
  </si>
  <si>
    <t>Annual Cost Refuse Carts 95 Gallon - 1 Per HH No Apartments - $55 EACH - 10 YRS x (15,028 UNITS)</t>
  </si>
  <si>
    <t>Convert to Automation No Apartments</t>
  </si>
  <si>
    <t xml:space="preserve">Convert to Automation </t>
  </si>
  <si>
    <t>Convert to Automation Bulk Once a Month Limited to two items No Apartments</t>
  </si>
  <si>
    <t>Convert to Automation Bulk Drop off Only No Apartments</t>
  </si>
  <si>
    <t>Convert to Automation w/$45/ton recycle fee No Apartments</t>
  </si>
  <si>
    <t>Convert to Automation w/$45/ton recycle fee Bulk Once a Month Limited to two items No Apartments</t>
  </si>
  <si>
    <t>Convert to Automation w/$45/ton recycle fee Bulk Drop off Only No Apartments</t>
  </si>
  <si>
    <t>Convert to Automation w/$80/ton recycle fee No Apartments</t>
  </si>
  <si>
    <t>Convert to Automation w/$80/ton recycle fee Bulk Once a Month Limited to two items No Apartments</t>
  </si>
  <si>
    <t>Convert to Automation w/$80/ton recycle fee Bulk Drop off Only No Apartments</t>
  </si>
  <si>
    <t>Convert to Automation recycle Drop off only Discontinue Apartments</t>
  </si>
  <si>
    <t>Convert to Automation Recycle Drop off Only Bulk Once a Month Limited to two items Discontinue Apartments</t>
  </si>
  <si>
    <t>Convert to Automation Recycle Drop off Only Bulk Drop off Only Discontinue Apartments</t>
  </si>
  <si>
    <t>Convert to Automation recycle drop off only w/$45/ton recycle fee Discontinue Apartments</t>
  </si>
  <si>
    <t>Convert to Automation Recycle Drop off Only w/$45/ton recycle fee Bulk Once a Month Limited to two items Discontinue Apartments</t>
  </si>
  <si>
    <t>Convert to Automation Recycle Drop off Only w/$45/ton recycle fee Bulk Drop off Only Discontinue Apartments</t>
  </si>
  <si>
    <t>Convert to Automation Recycle Drop off Only w/$80/ton recycle fee Discontinue Apartments</t>
  </si>
  <si>
    <t>Convert to Automation Recycle Drop off Only w/$80/ton recycle fee Bulk Once a Month Limited to two items Discontinue Apartments</t>
  </si>
  <si>
    <t>Convert to Automation Recycle Drop off Only w/$80/ton recycle fee Bulk Drop off Only Discontinue Apartments</t>
  </si>
  <si>
    <t>Transfer Station Improvements</t>
  </si>
  <si>
    <t>No. 2 Compactor Replacement</t>
  </si>
  <si>
    <t>Repoint Masonry</t>
  </si>
  <si>
    <t>R/R Angle Lintels, Flashing, End Dams</t>
  </si>
  <si>
    <t>Brick Replacement</t>
  </si>
  <si>
    <t>Transfer Station Capital Improvements</t>
  </si>
  <si>
    <t>Deck Rehabilitation, Structural Steel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</si>
</sst>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#,##0;[Red]#,##0"/>
    <numFmt numFmtId="166" formatCode="&quot;$&quot;#,##0.00"/>
    <numFmt numFmtId="167" formatCode="0.00_);\(0.00\)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3" xfId="0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5" fontId="0" fillId="4" borderId="3" xfId="0" applyNumberFormat="1" applyFill="1" applyBorder="1" applyAlignment="1">
      <alignment horizontal="center" vertical="center"/>
    </xf>
    <xf numFmtId="0" fontId="1" fillId="4" borderId="3" xfId="0" applyFont="1" applyFill="1" applyBorder="1"/>
    <xf numFmtId="0" fontId="4" fillId="4" borderId="3" xfId="0" applyFont="1" applyFill="1" applyBorder="1"/>
    <xf numFmtId="0" fontId="0" fillId="4" borderId="3" xfId="0" applyFill="1" applyBorder="1" applyAlignment="1">
      <alignment horizontal="left"/>
    </xf>
    <xf numFmtId="0" fontId="2" fillId="2" borderId="3" xfId="0" applyFont="1" applyFill="1" applyBorder="1" applyAlignment="1">
      <alignment horizontal="right"/>
    </xf>
    <xf numFmtId="164" fontId="0" fillId="2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left" vertical="center"/>
    </xf>
    <xf numFmtId="1" fontId="0" fillId="4" borderId="3" xfId="0" applyNumberFormat="1" applyFill="1" applyBorder="1" applyAlignment="1">
      <alignment horizontal="center" vertical="center"/>
    </xf>
    <xf numFmtId="166" fontId="0" fillId="4" borderId="3" xfId="1" applyNumberFormat="1" applyFont="1" applyFill="1" applyBorder="1" applyAlignment="1">
      <alignment horizontal="center" vertical="center"/>
    </xf>
    <xf numFmtId="7" fontId="0" fillId="4" borderId="3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6" fontId="0" fillId="4" borderId="3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166" fontId="0" fillId="3" borderId="3" xfId="0" applyNumberFormat="1" applyFill="1" applyBorder="1" applyAlignment="1">
      <alignment horizontal="center" vertical="center"/>
    </xf>
    <xf numFmtId="8" fontId="0" fillId="3" borderId="3" xfId="0" applyNumberFormat="1" applyFill="1" applyBorder="1" applyAlignment="1">
      <alignment horizontal="center" vertical="center"/>
    </xf>
    <xf numFmtId="8" fontId="0" fillId="3" borderId="3" xfId="0" applyNumberForma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3" xfId="0" applyFill="1" applyBorder="1"/>
    <xf numFmtId="0" fontId="2" fillId="0" borderId="0" xfId="0" applyFont="1" applyAlignment="1">
      <alignment horizontal="left"/>
    </xf>
    <xf numFmtId="167" fontId="0" fillId="4" borderId="3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2" borderId="3" xfId="0" applyFill="1" applyBorder="1" applyAlignment="1">
      <alignment horizontal="left" vertical="center"/>
    </xf>
    <xf numFmtId="8" fontId="0" fillId="2" borderId="3" xfId="0" applyNumberFormat="1" applyFill="1" applyBorder="1" applyAlignment="1">
      <alignment horizontal="center" vertical="center"/>
    </xf>
    <xf numFmtId="7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167" fontId="0" fillId="2" borderId="3" xfId="0" applyNumberFormat="1" applyFill="1" applyBorder="1" applyAlignment="1">
      <alignment horizontal="center" vertical="center"/>
    </xf>
    <xf numFmtId="166" fontId="0" fillId="2" borderId="3" xfId="0" applyNumberFormat="1" applyFill="1" applyBorder="1" applyAlignment="1">
      <alignment horizontal="center" vertical="center"/>
    </xf>
    <xf numFmtId="166" fontId="0" fillId="2" borderId="3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opLeftCell="A16" workbookViewId="0">
      <selection activeCell="A41" sqref="A41:I41"/>
    </sheetView>
  </sheetViews>
  <sheetFormatPr defaultRowHeight="15" x14ac:dyDescent="0.25"/>
  <cols>
    <col min="1" max="1" width="51.28515625" customWidth="1"/>
    <col min="2" max="2" width="9.5703125" customWidth="1"/>
    <col min="3" max="3" width="15.5703125" customWidth="1"/>
    <col min="4" max="4" width="51.7109375" customWidth="1"/>
    <col min="5" max="6" width="15.85546875" customWidth="1"/>
    <col min="7" max="7" width="17.140625" customWidth="1"/>
    <col min="8" max="8" width="20.7109375" customWidth="1"/>
    <col min="9" max="10" width="22.28515625" customWidth="1"/>
  </cols>
  <sheetData>
    <row r="1" spans="1:10" ht="15.75" thickBot="1" x14ac:dyDescent="0.3">
      <c r="A1" s="45" t="s">
        <v>44</v>
      </c>
      <c r="B1" s="45"/>
      <c r="C1" s="45"/>
      <c r="D1" s="45"/>
      <c r="E1" s="45"/>
      <c r="F1" s="45"/>
      <c r="G1" s="45"/>
      <c r="H1" s="45"/>
      <c r="I1" s="45"/>
      <c r="J1" s="44"/>
    </row>
    <row r="2" spans="1:10" ht="15.75" thickTop="1" x14ac:dyDescent="0.25"/>
    <row r="3" spans="1:10" x14ac:dyDescent="0.25">
      <c r="A3" s="1" t="s">
        <v>0</v>
      </c>
      <c r="B3" s="2">
        <v>2019</v>
      </c>
      <c r="C3" s="1"/>
      <c r="D3" s="32" t="s">
        <v>74</v>
      </c>
      <c r="G3" s="3"/>
      <c r="H3" s="3"/>
    </row>
    <row r="5" spans="1:10" ht="75" x14ac:dyDescent="0.25">
      <c r="A5" s="6" t="s">
        <v>28</v>
      </c>
      <c r="B5" s="6" t="s">
        <v>1</v>
      </c>
      <c r="C5" s="6" t="s">
        <v>2</v>
      </c>
      <c r="D5" s="6" t="s">
        <v>29</v>
      </c>
      <c r="E5" s="6" t="s">
        <v>33</v>
      </c>
      <c r="F5" s="6" t="s">
        <v>35</v>
      </c>
      <c r="G5" s="6" t="s">
        <v>36</v>
      </c>
      <c r="H5" s="6" t="s">
        <v>41</v>
      </c>
      <c r="I5" s="6" t="s">
        <v>43</v>
      </c>
      <c r="J5" s="6" t="s">
        <v>178</v>
      </c>
    </row>
    <row r="6" spans="1:10" x14ac:dyDescent="0.25">
      <c r="A6" s="7" t="s">
        <v>3</v>
      </c>
      <c r="B6" s="8">
        <v>2001</v>
      </c>
      <c r="C6" s="9">
        <v>31165</v>
      </c>
      <c r="D6" s="17" t="s">
        <v>30</v>
      </c>
      <c r="E6" s="9">
        <v>67000</v>
      </c>
      <c r="F6" s="18">
        <f>MAX(0,((B6+10)-$B$3))</f>
        <v>0</v>
      </c>
      <c r="G6" s="10">
        <v>10</v>
      </c>
      <c r="H6" s="19">
        <f>E6/G6</f>
        <v>6700</v>
      </c>
      <c r="I6" s="9">
        <f t="shared" ref="I6:I15" si="0">E6/G6</f>
        <v>6700</v>
      </c>
      <c r="J6" s="9"/>
    </row>
    <row r="7" spans="1:10" x14ac:dyDescent="0.25">
      <c r="A7" s="7" t="s">
        <v>4</v>
      </c>
      <c r="B7" s="8">
        <v>2002</v>
      </c>
      <c r="C7" s="9">
        <v>126000</v>
      </c>
      <c r="D7" s="17" t="s">
        <v>31</v>
      </c>
      <c r="E7" s="9">
        <v>352120</v>
      </c>
      <c r="F7" s="18">
        <f t="shared" ref="F7:F29" si="1">MAX(0,((B7+10)-$B$3))</f>
        <v>0</v>
      </c>
      <c r="G7" s="10">
        <v>10</v>
      </c>
      <c r="H7" s="19">
        <f t="shared" ref="H7:H27" si="2">E7/G7</f>
        <v>35212</v>
      </c>
      <c r="I7" s="9">
        <f t="shared" si="0"/>
        <v>35212</v>
      </c>
      <c r="J7" s="9"/>
    </row>
    <row r="8" spans="1:10" x14ac:dyDescent="0.25">
      <c r="A8" s="7" t="s">
        <v>5</v>
      </c>
      <c r="B8" s="8">
        <v>2002</v>
      </c>
      <c r="C8" s="9">
        <v>80803</v>
      </c>
      <c r="D8" s="17" t="s">
        <v>32</v>
      </c>
      <c r="E8" s="9">
        <v>133000</v>
      </c>
      <c r="F8" s="18">
        <f t="shared" si="1"/>
        <v>0</v>
      </c>
      <c r="G8" s="10">
        <v>10</v>
      </c>
      <c r="H8" s="19">
        <f t="shared" si="2"/>
        <v>13300</v>
      </c>
      <c r="I8" s="9">
        <f t="shared" si="0"/>
        <v>13300</v>
      </c>
      <c r="J8" s="9"/>
    </row>
    <row r="9" spans="1:10" x14ac:dyDescent="0.25">
      <c r="A9" s="7" t="s">
        <v>18</v>
      </c>
      <c r="B9" s="8">
        <v>2003</v>
      </c>
      <c r="C9" s="9">
        <v>34800</v>
      </c>
      <c r="D9" s="17" t="s">
        <v>30</v>
      </c>
      <c r="E9" s="9">
        <v>67000</v>
      </c>
      <c r="F9" s="18">
        <f t="shared" si="1"/>
        <v>0</v>
      </c>
      <c r="G9" s="10">
        <v>10</v>
      </c>
      <c r="H9" s="19">
        <f t="shared" si="2"/>
        <v>6700</v>
      </c>
      <c r="I9" s="9">
        <f t="shared" si="0"/>
        <v>6700</v>
      </c>
      <c r="J9" s="9"/>
    </row>
    <row r="10" spans="1:10" x14ac:dyDescent="0.25">
      <c r="A10" s="7" t="s">
        <v>6</v>
      </c>
      <c r="B10" s="8">
        <v>2004</v>
      </c>
      <c r="C10" s="9">
        <v>127461</v>
      </c>
      <c r="D10" s="17" t="s">
        <v>31</v>
      </c>
      <c r="E10" s="9">
        <v>352120</v>
      </c>
      <c r="F10" s="18">
        <f t="shared" si="1"/>
        <v>0</v>
      </c>
      <c r="G10" s="10">
        <v>10</v>
      </c>
      <c r="H10" s="19">
        <f t="shared" si="2"/>
        <v>35212</v>
      </c>
      <c r="I10" s="9">
        <f t="shared" si="0"/>
        <v>35212</v>
      </c>
      <c r="J10" s="9"/>
    </row>
    <row r="11" spans="1:10" x14ac:dyDescent="0.25">
      <c r="A11" s="7" t="s">
        <v>7</v>
      </c>
      <c r="B11" s="8">
        <v>2005</v>
      </c>
      <c r="C11" s="9">
        <v>179150</v>
      </c>
      <c r="D11" s="17" t="s">
        <v>31</v>
      </c>
      <c r="E11" s="9">
        <v>352120</v>
      </c>
      <c r="F11" s="18">
        <f t="shared" si="1"/>
        <v>0</v>
      </c>
      <c r="G11" s="10">
        <v>10</v>
      </c>
      <c r="H11" s="19">
        <f t="shared" si="2"/>
        <v>35212</v>
      </c>
      <c r="I11" s="9">
        <f t="shared" si="0"/>
        <v>35212</v>
      </c>
      <c r="J11" s="9"/>
    </row>
    <row r="12" spans="1:10" x14ac:dyDescent="0.25">
      <c r="A12" s="7" t="s">
        <v>8</v>
      </c>
      <c r="B12" s="8">
        <v>2005</v>
      </c>
      <c r="C12" s="9">
        <v>85289</v>
      </c>
      <c r="D12" s="17" t="s">
        <v>32</v>
      </c>
      <c r="E12" s="9">
        <v>133000</v>
      </c>
      <c r="F12" s="18">
        <f t="shared" si="1"/>
        <v>0</v>
      </c>
      <c r="G12" s="10">
        <v>10</v>
      </c>
      <c r="H12" s="19">
        <f t="shared" si="2"/>
        <v>13300</v>
      </c>
      <c r="I12" s="9">
        <f t="shared" si="0"/>
        <v>13300</v>
      </c>
      <c r="J12" s="9"/>
    </row>
    <row r="13" spans="1:10" x14ac:dyDescent="0.25">
      <c r="A13" s="7" t="s">
        <v>9</v>
      </c>
      <c r="B13" s="8">
        <v>2008</v>
      </c>
      <c r="C13" s="9">
        <v>222667</v>
      </c>
      <c r="D13" s="17" t="s">
        <v>31</v>
      </c>
      <c r="E13" s="9">
        <v>352120</v>
      </c>
      <c r="F13" s="18">
        <f t="shared" si="1"/>
        <v>0</v>
      </c>
      <c r="G13" s="10">
        <v>10</v>
      </c>
      <c r="H13" s="19">
        <f t="shared" si="2"/>
        <v>35212</v>
      </c>
      <c r="I13" s="9">
        <f t="shared" si="0"/>
        <v>35212</v>
      </c>
      <c r="J13" s="9"/>
    </row>
    <row r="14" spans="1:10" x14ac:dyDescent="0.25">
      <c r="A14" s="7" t="s">
        <v>10</v>
      </c>
      <c r="B14" s="8">
        <v>2008</v>
      </c>
      <c r="C14" s="9">
        <v>222667</v>
      </c>
      <c r="D14" s="17" t="s">
        <v>31</v>
      </c>
      <c r="E14" s="9">
        <v>352120</v>
      </c>
      <c r="F14" s="18">
        <f t="shared" si="1"/>
        <v>0</v>
      </c>
      <c r="G14" s="10">
        <v>10</v>
      </c>
      <c r="H14" s="19">
        <f t="shared" si="2"/>
        <v>35212</v>
      </c>
      <c r="I14" s="9">
        <f t="shared" si="0"/>
        <v>35212</v>
      </c>
      <c r="J14" s="9"/>
    </row>
    <row r="15" spans="1:10" x14ac:dyDescent="0.25">
      <c r="A15" s="7" t="s">
        <v>19</v>
      </c>
      <c r="B15" s="8">
        <v>2008</v>
      </c>
      <c r="C15" s="9">
        <v>90769</v>
      </c>
      <c r="D15" s="17" t="s">
        <v>32</v>
      </c>
      <c r="E15" s="9">
        <v>133000</v>
      </c>
      <c r="F15" s="18">
        <f t="shared" si="1"/>
        <v>0</v>
      </c>
      <c r="G15" s="10">
        <v>10</v>
      </c>
      <c r="H15" s="19">
        <f t="shared" si="2"/>
        <v>13300</v>
      </c>
      <c r="I15" s="9">
        <f t="shared" si="0"/>
        <v>13300</v>
      </c>
      <c r="J15" s="9"/>
    </row>
    <row r="16" spans="1:10" x14ac:dyDescent="0.25">
      <c r="A16" s="7" t="s">
        <v>20</v>
      </c>
      <c r="B16" s="8">
        <v>2009</v>
      </c>
      <c r="C16" s="9">
        <v>37650</v>
      </c>
      <c r="D16" s="17"/>
      <c r="E16" s="9">
        <v>0</v>
      </c>
      <c r="F16" s="18">
        <f t="shared" si="1"/>
        <v>0</v>
      </c>
      <c r="G16" s="10">
        <v>0</v>
      </c>
      <c r="H16" s="19">
        <f>IF(G16=0,0,E16/G16)</f>
        <v>0</v>
      </c>
      <c r="I16" s="9">
        <f>IF(G16=0,0,E16/G16)</f>
        <v>0</v>
      </c>
      <c r="J16" s="9"/>
    </row>
    <row r="17" spans="1:10" x14ac:dyDescent="0.25">
      <c r="A17" s="7" t="s">
        <v>11</v>
      </c>
      <c r="B17" s="8">
        <v>2009</v>
      </c>
      <c r="C17" s="9">
        <v>105982</v>
      </c>
      <c r="D17" s="17"/>
      <c r="E17" s="9">
        <v>0</v>
      </c>
      <c r="F17" s="18">
        <f t="shared" si="1"/>
        <v>0</v>
      </c>
      <c r="G17" s="10">
        <v>0</v>
      </c>
      <c r="H17" s="19">
        <f>IF(G17=0,0,E17/G17)</f>
        <v>0</v>
      </c>
      <c r="I17" s="9">
        <f>IF(G17=0,0,E17/G17)</f>
        <v>0</v>
      </c>
      <c r="J17" s="9"/>
    </row>
    <row r="18" spans="1:10" x14ac:dyDescent="0.25">
      <c r="A18" s="7" t="s">
        <v>12</v>
      </c>
      <c r="B18" s="8">
        <v>2011</v>
      </c>
      <c r="C18" s="9">
        <v>213215</v>
      </c>
      <c r="D18" s="17" t="s">
        <v>31</v>
      </c>
      <c r="E18" s="9">
        <v>352120</v>
      </c>
      <c r="F18" s="18">
        <f t="shared" si="1"/>
        <v>2</v>
      </c>
      <c r="G18" s="10">
        <v>10</v>
      </c>
      <c r="H18" s="19">
        <f t="shared" si="2"/>
        <v>35212</v>
      </c>
      <c r="I18" s="9">
        <f t="shared" ref="I18:I31" si="3">IF(G18=0,0,E18/G18)</f>
        <v>35212</v>
      </c>
      <c r="J18" s="9"/>
    </row>
    <row r="19" spans="1:10" x14ac:dyDescent="0.25">
      <c r="A19" s="7" t="s">
        <v>13</v>
      </c>
      <c r="B19" s="8">
        <v>2011</v>
      </c>
      <c r="C19" s="9">
        <v>54431</v>
      </c>
      <c r="D19" s="17"/>
      <c r="E19" s="9">
        <v>0</v>
      </c>
      <c r="F19" s="18">
        <f t="shared" si="1"/>
        <v>2</v>
      </c>
      <c r="G19" s="10">
        <v>0</v>
      </c>
      <c r="H19" s="19">
        <f>IF(G19=0,0,E19/G19)</f>
        <v>0</v>
      </c>
      <c r="I19" s="9">
        <f t="shared" si="3"/>
        <v>0</v>
      </c>
      <c r="J19" s="9"/>
    </row>
    <row r="20" spans="1:10" x14ac:dyDescent="0.25">
      <c r="A20" s="7" t="s">
        <v>21</v>
      </c>
      <c r="B20" s="8">
        <v>2012</v>
      </c>
      <c r="C20" s="9">
        <v>113044</v>
      </c>
      <c r="D20" s="17"/>
      <c r="E20" s="9">
        <v>0</v>
      </c>
      <c r="F20" s="18">
        <f t="shared" si="1"/>
        <v>3</v>
      </c>
      <c r="G20" s="10">
        <v>0</v>
      </c>
      <c r="H20" s="19">
        <f t="shared" ref="H20:H23" si="4">IF(G20=0,0,E20/G20)</f>
        <v>0</v>
      </c>
      <c r="I20" s="9">
        <f t="shared" si="3"/>
        <v>0</v>
      </c>
      <c r="J20" s="9"/>
    </row>
    <row r="21" spans="1:10" x14ac:dyDescent="0.25">
      <c r="A21" s="7" t="s">
        <v>22</v>
      </c>
      <c r="B21" s="8">
        <v>2013</v>
      </c>
      <c r="C21" s="9">
        <v>53483</v>
      </c>
      <c r="D21" s="17"/>
      <c r="E21" s="9">
        <v>0</v>
      </c>
      <c r="F21" s="18">
        <f t="shared" si="1"/>
        <v>4</v>
      </c>
      <c r="G21" s="10">
        <v>0</v>
      </c>
      <c r="H21" s="19">
        <f t="shared" si="4"/>
        <v>0</v>
      </c>
      <c r="I21" s="9">
        <f t="shared" si="3"/>
        <v>0</v>
      </c>
      <c r="J21" s="9"/>
    </row>
    <row r="22" spans="1:10" x14ac:dyDescent="0.25">
      <c r="A22" s="7" t="s">
        <v>14</v>
      </c>
      <c r="B22" s="8">
        <v>2013</v>
      </c>
      <c r="C22" s="9">
        <v>19840</v>
      </c>
      <c r="D22" s="17"/>
      <c r="E22" s="9">
        <v>0</v>
      </c>
      <c r="F22" s="18">
        <f t="shared" si="1"/>
        <v>4</v>
      </c>
      <c r="G22" s="10">
        <v>0</v>
      </c>
      <c r="H22" s="19">
        <f t="shared" si="4"/>
        <v>0</v>
      </c>
      <c r="I22" s="9">
        <f t="shared" si="3"/>
        <v>0</v>
      </c>
      <c r="J22" s="9"/>
    </row>
    <row r="23" spans="1:10" x14ac:dyDescent="0.25">
      <c r="A23" s="7" t="s">
        <v>23</v>
      </c>
      <c r="B23" s="8">
        <v>2013</v>
      </c>
      <c r="C23" s="9">
        <v>119609</v>
      </c>
      <c r="D23" s="17"/>
      <c r="E23" s="9">
        <v>0</v>
      </c>
      <c r="F23" s="18">
        <f t="shared" si="1"/>
        <v>4</v>
      </c>
      <c r="G23" s="10">
        <v>0</v>
      </c>
      <c r="H23" s="19">
        <f t="shared" si="4"/>
        <v>0</v>
      </c>
      <c r="I23" s="9">
        <f t="shared" si="3"/>
        <v>0</v>
      </c>
      <c r="J23" s="9"/>
    </row>
    <row r="24" spans="1:10" x14ac:dyDescent="0.25">
      <c r="A24" s="7" t="s">
        <v>15</v>
      </c>
      <c r="B24" s="8">
        <v>2014</v>
      </c>
      <c r="C24" s="9">
        <v>280150</v>
      </c>
      <c r="D24" s="17" t="s">
        <v>34</v>
      </c>
      <c r="E24" s="9">
        <v>40000</v>
      </c>
      <c r="F24" s="18">
        <f t="shared" si="1"/>
        <v>5</v>
      </c>
      <c r="G24" s="10">
        <v>10</v>
      </c>
      <c r="H24" s="19">
        <f t="shared" si="2"/>
        <v>4000</v>
      </c>
      <c r="I24" s="9">
        <f t="shared" si="3"/>
        <v>4000</v>
      </c>
      <c r="J24" s="9"/>
    </row>
    <row r="25" spans="1:10" x14ac:dyDescent="0.25">
      <c r="A25" s="13" t="s">
        <v>25</v>
      </c>
      <c r="B25" s="8">
        <v>2014</v>
      </c>
      <c r="C25" s="9">
        <v>119513</v>
      </c>
      <c r="D25" s="17"/>
      <c r="E25" s="9">
        <v>0</v>
      </c>
      <c r="F25" s="18">
        <f t="shared" si="1"/>
        <v>5</v>
      </c>
      <c r="G25" s="10">
        <v>0</v>
      </c>
      <c r="H25" s="19">
        <f>IF(G25=0,0,E25/G25)</f>
        <v>0</v>
      </c>
      <c r="I25" s="9">
        <f t="shared" si="3"/>
        <v>0</v>
      </c>
      <c r="J25" s="9"/>
    </row>
    <row r="26" spans="1:10" x14ac:dyDescent="0.25">
      <c r="A26" s="7" t="s">
        <v>24</v>
      </c>
      <c r="B26" s="8">
        <v>2015</v>
      </c>
      <c r="C26" s="9">
        <v>61984</v>
      </c>
      <c r="D26" s="17"/>
      <c r="E26" s="9">
        <v>0</v>
      </c>
      <c r="F26" s="18">
        <f t="shared" si="1"/>
        <v>6</v>
      </c>
      <c r="G26" s="10">
        <v>0</v>
      </c>
      <c r="H26" s="19">
        <f>IF(G26=0,0,E26/G26)</f>
        <v>0</v>
      </c>
      <c r="I26" s="9">
        <f t="shared" si="3"/>
        <v>0</v>
      </c>
      <c r="J26" s="9"/>
    </row>
    <row r="27" spans="1:10" x14ac:dyDescent="0.25">
      <c r="A27" s="7" t="s">
        <v>16</v>
      </c>
      <c r="B27" s="8">
        <v>2015</v>
      </c>
      <c r="C27" s="9">
        <v>280150</v>
      </c>
      <c r="D27" s="17" t="s">
        <v>34</v>
      </c>
      <c r="E27" s="9">
        <v>40000</v>
      </c>
      <c r="F27" s="18">
        <f t="shared" si="1"/>
        <v>6</v>
      </c>
      <c r="G27" s="10">
        <v>10</v>
      </c>
      <c r="H27" s="19">
        <f t="shared" si="2"/>
        <v>4000</v>
      </c>
      <c r="I27" s="9">
        <f t="shared" si="3"/>
        <v>4000</v>
      </c>
      <c r="J27" s="9"/>
    </row>
    <row r="28" spans="1:10" x14ac:dyDescent="0.25">
      <c r="A28" s="12" t="s">
        <v>26</v>
      </c>
      <c r="B28" s="8">
        <v>2018</v>
      </c>
      <c r="C28" s="9">
        <v>126000</v>
      </c>
      <c r="D28" s="17"/>
      <c r="E28" s="9">
        <v>0</v>
      </c>
      <c r="F28" s="18">
        <f t="shared" si="1"/>
        <v>9</v>
      </c>
      <c r="G28" s="10">
        <v>0</v>
      </c>
      <c r="H28" s="19">
        <f>IF(G28=0,0,E28/G28)</f>
        <v>0</v>
      </c>
      <c r="I28" s="9">
        <f t="shared" si="3"/>
        <v>0</v>
      </c>
      <c r="J28" s="9"/>
    </row>
    <row r="29" spans="1:10" x14ac:dyDescent="0.25">
      <c r="A29" s="12" t="s">
        <v>27</v>
      </c>
      <c r="B29" s="8">
        <v>2018</v>
      </c>
      <c r="C29" s="9">
        <v>63079</v>
      </c>
      <c r="D29" s="17"/>
      <c r="E29" s="9">
        <v>0</v>
      </c>
      <c r="F29" s="18">
        <f t="shared" si="1"/>
        <v>9</v>
      </c>
      <c r="G29" s="10">
        <v>0</v>
      </c>
      <c r="H29" s="19">
        <f>IF(G29=0,0,E29/G29)</f>
        <v>0</v>
      </c>
      <c r="I29" s="9">
        <f t="shared" si="3"/>
        <v>0</v>
      </c>
      <c r="J29" s="9"/>
    </row>
    <row r="30" spans="1:10" x14ac:dyDescent="0.25">
      <c r="A30" s="12"/>
      <c r="B30" s="8"/>
      <c r="C30" s="9"/>
      <c r="D30" s="17" t="s">
        <v>65</v>
      </c>
      <c r="E30" s="9">
        <v>852500</v>
      </c>
      <c r="F30" s="9"/>
      <c r="G30" s="10">
        <v>10</v>
      </c>
      <c r="H30" s="19">
        <v>0</v>
      </c>
      <c r="I30" s="9">
        <f t="shared" si="3"/>
        <v>85250</v>
      </c>
      <c r="J30" s="9"/>
    </row>
    <row r="31" spans="1:10" x14ac:dyDescent="0.25">
      <c r="A31" s="12"/>
      <c r="B31" s="8"/>
      <c r="C31" s="9"/>
      <c r="D31" s="17" t="s">
        <v>59</v>
      </c>
      <c r="E31" s="9">
        <v>775000</v>
      </c>
      <c r="F31" s="9"/>
      <c r="G31" s="10">
        <v>10</v>
      </c>
      <c r="H31" s="19">
        <v>0</v>
      </c>
      <c r="I31" s="9">
        <f t="shared" si="3"/>
        <v>77500</v>
      </c>
      <c r="J31" s="9"/>
    </row>
    <row r="32" spans="1:10" x14ac:dyDescent="0.25">
      <c r="A32" s="11"/>
      <c r="B32" s="8"/>
      <c r="C32" s="9"/>
      <c r="D32" s="17" t="s">
        <v>42</v>
      </c>
      <c r="E32" s="20">
        <v>-320000</v>
      </c>
      <c r="F32" s="9"/>
      <c r="G32" s="18">
        <v>10</v>
      </c>
      <c r="H32" s="20">
        <f>E32/G32</f>
        <v>-32000</v>
      </c>
      <c r="I32" s="9">
        <v>0</v>
      </c>
      <c r="J32" s="9"/>
    </row>
    <row r="33" spans="1:10" x14ac:dyDescent="0.25">
      <c r="A33" s="11"/>
      <c r="B33" s="8"/>
      <c r="C33" s="9"/>
      <c r="D33" s="17" t="s">
        <v>179</v>
      </c>
      <c r="E33" s="20">
        <v>250000</v>
      </c>
      <c r="F33" s="9"/>
      <c r="G33" s="18">
        <v>25</v>
      </c>
      <c r="H33" s="20"/>
      <c r="I33" s="9"/>
      <c r="J33" s="9">
        <f>E33/G33</f>
        <v>10000</v>
      </c>
    </row>
    <row r="34" spans="1:10" x14ac:dyDescent="0.25">
      <c r="A34" s="11"/>
      <c r="B34" s="8"/>
      <c r="C34" s="9"/>
      <c r="D34" s="17" t="s">
        <v>181</v>
      </c>
      <c r="E34" s="20">
        <v>50000</v>
      </c>
      <c r="F34" s="9"/>
      <c r="G34" s="18">
        <v>20</v>
      </c>
      <c r="H34" s="20"/>
      <c r="I34" s="9"/>
      <c r="J34" s="9">
        <f>E34/G34</f>
        <v>2500</v>
      </c>
    </row>
    <row r="35" spans="1:10" x14ac:dyDescent="0.25">
      <c r="A35" s="11"/>
      <c r="B35" s="8"/>
      <c r="C35" s="9"/>
      <c r="D35" s="17" t="s">
        <v>180</v>
      </c>
      <c r="E35" s="20">
        <v>35000</v>
      </c>
      <c r="F35" s="9"/>
      <c r="G35" s="18">
        <v>20</v>
      </c>
      <c r="H35" s="20"/>
      <c r="I35" s="9"/>
      <c r="J35" s="9">
        <f>E35/G35</f>
        <v>1750</v>
      </c>
    </row>
    <row r="36" spans="1:10" x14ac:dyDescent="0.25">
      <c r="A36" s="11"/>
      <c r="B36" s="8"/>
      <c r="C36" s="9"/>
      <c r="D36" s="17" t="s">
        <v>182</v>
      </c>
      <c r="E36" s="20">
        <v>8000</v>
      </c>
      <c r="F36" s="9"/>
      <c r="G36" s="18">
        <v>20</v>
      </c>
      <c r="H36" s="20"/>
      <c r="I36" s="9"/>
      <c r="J36" s="9">
        <f>E36/G36</f>
        <v>400</v>
      </c>
    </row>
    <row r="37" spans="1:10" x14ac:dyDescent="0.25">
      <c r="A37" s="12"/>
      <c r="B37" s="8"/>
      <c r="C37" s="9"/>
      <c r="D37" s="17" t="s">
        <v>184</v>
      </c>
      <c r="E37" s="20">
        <v>210000</v>
      </c>
      <c r="F37" s="9"/>
      <c r="G37" s="18">
        <v>20</v>
      </c>
      <c r="H37" s="20"/>
      <c r="I37" s="9"/>
      <c r="J37" s="9">
        <f>E37/G37</f>
        <v>10500</v>
      </c>
    </row>
    <row r="38" spans="1:10" x14ac:dyDescent="0.25">
      <c r="A38" s="11"/>
      <c r="B38" s="8"/>
      <c r="C38" s="9"/>
      <c r="D38" s="17"/>
      <c r="E38" s="20"/>
      <c r="F38" s="9"/>
      <c r="G38" s="18"/>
      <c r="H38" s="20"/>
      <c r="I38" s="9"/>
      <c r="J38" s="9"/>
    </row>
    <row r="39" spans="1:10" x14ac:dyDescent="0.25">
      <c r="A39" s="14" t="s">
        <v>17</v>
      </c>
      <c r="B39" s="14"/>
      <c r="C39" s="14"/>
      <c r="D39" s="14"/>
      <c r="E39" s="16">
        <f>SUM(E6:E31)</f>
        <v>4353220</v>
      </c>
      <c r="F39" s="15"/>
      <c r="G39" s="15"/>
      <c r="H39" s="16">
        <f>SUM(H6:H32)</f>
        <v>240572</v>
      </c>
      <c r="I39" s="16">
        <f>SUM(I6:I32)</f>
        <v>435322</v>
      </c>
      <c r="J39" s="16">
        <f>SUM(J33:J38)</f>
        <v>25150</v>
      </c>
    </row>
    <row r="40" spans="1:10" x14ac:dyDescent="0.25">
      <c r="G40" t="s">
        <v>100</v>
      </c>
      <c r="H40" s="34">
        <f>H39-H18-H14</f>
        <v>170148</v>
      </c>
    </row>
    <row r="41" spans="1:10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35"/>
    </row>
    <row r="42" spans="1:10" x14ac:dyDescent="0.25">
      <c r="A42" s="4"/>
      <c r="B42" s="4"/>
      <c r="C42" s="4"/>
      <c r="D42" s="4"/>
      <c r="E42" s="4"/>
      <c r="F42" s="4"/>
      <c r="G42" s="4"/>
      <c r="H42" s="5"/>
      <c r="I42" s="4"/>
      <c r="J42" s="35"/>
    </row>
    <row r="43" spans="1:10" x14ac:dyDescent="0.25">
      <c r="A43" s="4" t="s">
        <v>40</v>
      </c>
      <c r="B43" s="4"/>
      <c r="C43" s="4"/>
      <c r="D43" s="4"/>
      <c r="E43" s="4"/>
      <c r="F43" s="4"/>
      <c r="G43" s="4"/>
      <c r="H43" s="5"/>
      <c r="I43" s="4"/>
      <c r="J43" s="35"/>
    </row>
    <row r="45" spans="1:10" x14ac:dyDescent="0.25">
      <c r="A45" s="47" t="s">
        <v>38</v>
      </c>
      <c r="B45" s="47"/>
      <c r="C45" s="47"/>
      <c r="D45" s="47"/>
      <c r="E45" s="47"/>
      <c r="F45" s="47"/>
      <c r="G45" s="47"/>
      <c r="H45" s="47"/>
      <c r="I45" s="47"/>
      <c r="J45" s="36"/>
    </row>
    <row r="46" spans="1:10" x14ac:dyDescent="0.25">
      <c r="A46" t="s">
        <v>37</v>
      </c>
    </row>
    <row r="47" spans="1:10" x14ac:dyDescent="0.25">
      <c r="A47" t="s">
        <v>39</v>
      </c>
    </row>
  </sheetData>
  <mergeCells count="3">
    <mergeCell ref="A1:I1"/>
    <mergeCell ref="A41:I41"/>
    <mergeCell ref="A45:I45"/>
  </mergeCells>
  <pageMargins left="0.7" right="0.7" top="0.75" bottom="0.75" header="0.3" footer="0.3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8"/>
  <sheetViews>
    <sheetView tabSelected="1" topLeftCell="A31" zoomScale="70" zoomScaleNormal="70" workbookViewId="0">
      <pane xSplit="1" topLeftCell="X1" activePane="topRight" state="frozen"/>
      <selection activeCell="A55" sqref="A55"/>
      <selection pane="topRight" activeCell="AA64" sqref="AA64"/>
    </sheetView>
  </sheetViews>
  <sheetFormatPr defaultRowHeight="15" x14ac:dyDescent="0.25"/>
  <cols>
    <col min="1" max="1" width="133.5703125" bestFit="1" customWidth="1"/>
    <col min="2" max="4" width="24" customWidth="1"/>
    <col min="5" max="9" width="31.140625" customWidth="1"/>
    <col min="10" max="10" width="22.28515625" customWidth="1"/>
    <col min="11" max="11" width="27.5703125" customWidth="1"/>
    <col min="12" max="13" width="28.85546875" customWidth="1"/>
    <col min="14" max="17" width="27.5703125" customWidth="1"/>
    <col min="18" max="18" width="27.28515625" customWidth="1"/>
    <col min="19" max="24" width="23.5703125" customWidth="1"/>
    <col min="25" max="26" width="19.42578125" customWidth="1"/>
    <col min="27" max="29" width="23.85546875" customWidth="1"/>
    <col min="30" max="31" width="20.28515625" customWidth="1"/>
    <col min="32" max="33" width="20.7109375" customWidth="1"/>
    <col min="34" max="34" width="22.28515625" customWidth="1"/>
  </cols>
  <sheetData>
    <row r="1" spans="1:34" ht="15.75" thickBot="1" x14ac:dyDescent="0.3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ht="15.75" thickTop="1" x14ac:dyDescent="0.25"/>
    <row r="3" spans="1:34" x14ac:dyDescent="0.25">
      <c r="A3" s="1" t="s">
        <v>66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AD3" s="3"/>
      <c r="AE3" s="3"/>
      <c r="AF3" s="3"/>
      <c r="AG3" s="3"/>
    </row>
    <row r="5" spans="1:34" ht="111.75" customHeight="1" x14ac:dyDescent="0.25">
      <c r="A5" s="23" t="s">
        <v>50</v>
      </c>
      <c r="B5" s="23" t="s">
        <v>45</v>
      </c>
      <c r="C5" s="24" t="s">
        <v>62</v>
      </c>
      <c r="D5" s="24" t="s">
        <v>183</v>
      </c>
      <c r="E5" s="24" t="s">
        <v>67</v>
      </c>
      <c r="F5" s="24" t="s">
        <v>63</v>
      </c>
      <c r="G5" s="24" t="s">
        <v>101</v>
      </c>
      <c r="H5" s="24" t="s">
        <v>88</v>
      </c>
      <c r="I5" s="24" t="s">
        <v>85</v>
      </c>
      <c r="J5" s="24" t="s">
        <v>47</v>
      </c>
      <c r="K5" s="24" t="s">
        <v>61</v>
      </c>
      <c r="L5" s="24" t="s">
        <v>68</v>
      </c>
      <c r="M5" s="24" t="s">
        <v>138</v>
      </c>
      <c r="N5" s="24" t="s">
        <v>60</v>
      </c>
      <c r="O5" s="24" t="s">
        <v>148</v>
      </c>
      <c r="P5" s="24" t="s">
        <v>64</v>
      </c>
      <c r="Q5" s="24" t="s">
        <v>158</v>
      </c>
      <c r="R5" s="24" t="s">
        <v>78</v>
      </c>
      <c r="S5" s="23" t="s">
        <v>51</v>
      </c>
      <c r="T5" s="23" t="s">
        <v>83</v>
      </c>
      <c r="U5" s="23" t="s">
        <v>84</v>
      </c>
      <c r="V5" s="23" t="s">
        <v>87</v>
      </c>
      <c r="W5" s="23" t="s">
        <v>90</v>
      </c>
      <c r="X5" s="23" t="s">
        <v>55</v>
      </c>
      <c r="Y5" s="23" t="s">
        <v>48</v>
      </c>
      <c r="Z5" s="23" t="s">
        <v>56</v>
      </c>
      <c r="AA5" s="23" t="s">
        <v>52</v>
      </c>
      <c r="AB5" s="23" t="s">
        <v>86</v>
      </c>
      <c r="AC5" s="23" t="s">
        <v>89</v>
      </c>
      <c r="AD5" s="23" t="s">
        <v>49</v>
      </c>
      <c r="AE5" s="23" t="s">
        <v>54</v>
      </c>
      <c r="AF5" s="23" t="s">
        <v>69</v>
      </c>
      <c r="AG5" s="23" t="s">
        <v>72</v>
      </c>
      <c r="AH5" s="23" t="s">
        <v>73</v>
      </c>
    </row>
    <row r="6" spans="1:34" x14ac:dyDescent="0.25">
      <c r="A6" s="29" t="s">
        <v>102</v>
      </c>
      <c r="B6" s="28">
        <v>2113825</v>
      </c>
      <c r="C6" s="22">
        <f t="shared" ref="C6:C87" si="0">B6+(B6*0.05)</f>
        <v>2219516.25</v>
      </c>
      <c r="D6" s="22">
        <v>25150</v>
      </c>
      <c r="E6" s="22">
        <v>0</v>
      </c>
      <c r="F6" s="20">
        <v>0</v>
      </c>
      <c r="G6" s="20">
        <v>0</v>
      </c>
      <c r="H6" s="20">
        <v>0</v>
      </c>
      <c r="I6" s="20">
        <v>0</v>
      </c>
      <c r="J6" s="9">
        <v>240572</v>
      </c>
      <c r="K6" s="9">
        <v>0</v>
      </c>
      <c r="L6" s="9">
        <f>16275*60/5</f>
        <v>195300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16">
        <v>0</v>
      </c>
      <c r="S6" s="26">
        <v>15500</v>
      </c>
      <c r="T6" s="33">
        <v>0</v>
      </c>
      <c r="U6" s="33">
        <v>0</v>
      </c>
      <c r="V6" s="33">
        <v>0</v>
      </c>
      <c r="W6" s="33">
        <v>0</v>
      </c>
      <c r="X6" s="25">
        <v>0</v>
      </c>
      <c r="Y6" s="16">
        <v>15.7</v>
      </c>
      <c r="Z6" s="20">
        <f t="shared" ref="Z6:Z95" si="1">(T6+U6+V6+W6)*Y6</f>
        <v>0</v>
      </c>
      <c r="AA6" s="21">
        <v>3100</v>
      </c>
      <c r="AB6" s="21">
        <v>0</v>
      </c>
      <c r="AC6" s="33">
        <v>0</v>
      </c>
      <c r="AD6" s="27">
        <v>0</v>
      </c>
      <c r="AE6" s="25">
        <f t="shared" ref="AE6:AE98" si="2">(AA6+AB6+AC6)*AD6</f>
        <v>0</v>
      </c>
      <c r="AF6" s="19">
        <f>C6+D6+E6+F6+G6+H6+I6+J6+K6+L6+M6+N6+O6+P6+Q6+X6+Z6+AE6</f>
        <v>2680538.25</v>
      </c>
      <c r="AG6" s="9">
        <f t="shared" ref="AG6:AG98" si="3">AF6/15500</f>
        <v>172.93795161290322</v>
      </c>
      <c r="AH6" s="9">
        <f t="shared" ref="AH6:AH98" si="4">AG6/12</f>
        <v>14.411495967741935</v>
      </c>
    </row>
    <row r="7" spans="1:34" x14ac:dyDescent="0.25">
      <c r="A7" s="29" t="s">
        <v>103</v>
      </c>
      <c r="B7" s="28">
        <v>2113825</v>
      </c>
      <c r="C7" s="22">
        <f t="shared" si="0"/>
        <v>2219516.25</v>
      </c>
      <c r="D7" s="22">
        <v>25150</v>
      </c>
      <c r="E7" s="22">
        <v>0</v>
      </c>
      <c r="F7" s="20">
        <v>0</v>
      </c>
      <c r="G7" s="20">
        <v>0</v>
      </c>
      <c r="H7" s="20">
        <v>0</v>
      </c>
      <c r="I7" s="20">
        <v>0</v>
      </c>
      <c r="J7" s="9">
        <v>240572</v>
      </c>
      <c r="K7" s="9">
        <v>0</v>
      </c>
      <c r="L7" s="9">
        <f t="shared" ref="L7:L14" si="5">16275*60/5</f>
        <v>195300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16">
        <v>0</v>
      </c>
      <c r="S7" s="26">
        <v>15500</v>
      </c>
      <c r="T7" s="33">
        <f t="shared" ref="T7:T85" si="6">-(S7*0.03)</f>
        <v>-465</v>
      </c>
      <c r="U7" s="33">
        <v>0</v>
      </c>
      <c r="V7" s="33">
        <v>0</v>
      </c>
      <c r="W7" s="33">
        <v>0</v>
      </c>
      <c r="X7" s="25">
        <v>0</v>
      </c>
      <c r="Y7" s="16">
        <v>15.7</v>
      </c>
      <c r="Z7" s="20">
        <f t="shared" si="1"/>
        <v>-7300.5</v>
      </c>
      <c r="AA7" s="21">
        <v>3100</v>
      </c>
      <c r="AB7" s="21">
        <v>0</v>
      </c>
      <c r="AC7" s="33">
        <v>0</v>
      </c>
      <c r="AD7" s="27">
        <v>0</v>
      </c>
      <c r="AE7" s="25">
        <f t="shared" si="2"/>
        <v>0</v>
      </c>
      <c r="AF7" s="19">
        <f t="shared" ref="AF7:AF70" si="7">C7+D7+E7+F7+G7+H7+I7+J7+K7+L7+M7+N7+O7+P7+Q7+X7+Z7+AE7</f>
        <v>2673237.75</v>
      </c>
      <c r="AG7" s="9">
        <f t="shared" si="3"/>
        <v>172.46695161290322</v>
      </c>
      <c r="AH7" s="9">
        <f t="shared" si="4"/>
        <v>14.372245967741934</v>
      </c>
    </row>
    <row r="8" spans="1:34" x14ac:dyDescent="0.25">
      <c r="A8" s="29" t="s">
        <v>104</v>
      </c>
      <c r="B8" s="28">
        <v>2113825</v>
      </c>
      <c r="C8" s="22">
        <f t="shared" si="0"/>
        <v>2219516.25</v>
      </c>
      <c r="D8" s="22">
        <v>25150</v>
      </c>
      <c r="E8" s="22">
        <v>0</v>
      </c>
      <c r="F8" s="20">
        <v>0</v>
      </c>
      <c r="G8" s="20">
        <v>0</v>
      </c>
      <c r="H8" s="20">
        <v>0</v>
      </c>
      <c r="I8" s="20">
        <f t="shared" ref="I8:I86" si="8">-(C8*0.07)</f>
        <v>-155366.13750000001</v>
      </c>
      <c r="J8" s="9">
        <v>240572</v>
      </c>
      <c r="K8" s="9">
        <v>0</v>
      </c>
      <c r="L8" s="9">
        <f t="shared" si="5"/>
        <v>195300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16">
        <v>0</v>
      </c>
      <c r="S8" s="26">
        <v>15500</v>
      </c>
      <c r="T8" s="33">
        <v>0</v>
      </c>
      <c r="U8" s="33">
        <f t="shared" ref="U8:U86" si="9">-(15500*0.05)</f>
        <v>-775</v>
      </c>
      <c r="V8" s="33">
        <v>0</v>
      </c>
      <c r="W8" s="33">
        <v>0</v>
      </c>
      <c r="X8" s="25">
        <v>0</v>
      </c>
      <c r="Y8" s="16">
        <v>15.7</v>
      </c>
      <c r="Z8" s="20">
        <f t="shared" si="1"/>
        <v>-12167.5</v>
      </c>
      <c r="AA8" s="21">
        <v>3100</v>
      </c>
      <c r="AB8" s="21">
        <v>0</v>
      </c>
      <c r="AC8" s="33">
        <v>0</v>
      </c>
      <c r="AD8" s="27">
        <v>0</v>
      </c>
      <c r="AE8" s="25">
        <f t="shared" si="2"/>
        <v>0</v>
      </c>
      <c r="AF8" s="19">
        <f t="shared" si="7"/>
        <v>2513004.6124999998</v>
      </c>
      <c r="AG8" s="9">
        <f t="shared" si="3"/>
        <v>162.12932983870965</v>
      </c>
      <c r="AH8" s="9">
        <f t="shared" si="4"/>
        <v>13.510777486559137</v>
      </c>
    </row>
    <row r="9" spans="1:34" x14ac:dyDescent="0.25">
      <c r="A9" s="29" t="s">
        <v>105</v>
      </c>
      <c r="B9" s="28">
        <v>2113825</v>
      </c>
      <c r="C9" s="22">
        <f t="shared" si="0"/>
        <v>2219516.25</v>
      </c>
      <c r="D9" s="22">
        <v>25150</v>
      </c>
      <c r="E9" s="22">
        <v>0</v>
      </c>
      <c r="F9" s="20">
        <v>0</v>
      </c>
      <c r="G9" s="20">
        <v>0</v>
      </c>
      <c r="H9" s="20">
        <v>0</v>
      </c>
      <c r="I9" s="20">
        <v>0</v>
      </c>
      <c r="J9" s="9">
        <v>240572</v>
      </c>
      <c r="K9" s="9">
        <v>0</v>
      </c>
      <c r="L9" s="9">
        <f t="shared" si="5"/>
        <v>195300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16">
        <v>0</v>
      </c>
      <c r="S9" s="26">
        <v>15500</v>
      </c>
      <c r="T9" s="33">
        <v>0</v>
      </c>
      <c r="U9" s="33">
        <v>0</v>
      </c>
      <c r="V9" s="33">
        <v>0</v>
      </c>
      <c r="W9" s="33">
        <v>0</v>
      </c>
      <c r="X9" s="25">
        <v>0</v>
      </c>
      <c r="Y9" s="16">
        <v>15.7</v>
      </c>
      <c r="Z9" s="20">
        <f t="shared" si="1"/>
        <v>0</v>
      </c>
      <c r="AA9" s="21">
        <v>3100</v>
      </c>
      <c r="AB9" s="21">
        <v>0</v>
      </c>
      <c r="AC9" s="33">
        <v>0</v>
      </c>
      <c r="AD9" s="27">
        <v>45</v>
      </c>
      <c r="AE9" s="25">
        <f t="shared" si="2"/>
        <v>139500</v>
      </c>
      <c r="AF9" s="19">
        <f t="shared" si="7"/>
        <v>2820038.25</v>
      </c>
      <c r="AG9" s="9">
        <f t="shared" si="3"/>
        <v>181.93795161290322</v>
      </c>
      <c r="AH9" s="9">
        <f t="shared" si="4"/>
        <v>15.161495967741935</v>
      </c>
    </row>
    <row r="10" spans="1:34" x14ac:dyDescent="0.25">
      <c r="A10" s="29" t="s">
        <v>106</v>
      </c>
      <c r="B10" s="28">
        <v>2113825</v>
      </c>
      <c r="C10" s="22">
        <f t="shared" si="0"/>
        <v>2219516.25</v>
      </c>
      <c r="D10" s="22">
        <v>25150</v>
      </c>
      <c r="E10" s="22">
        <v>0</v>
      </c>
      <c r="F10" s="20">
        <v>0</v>
      </c>
      <c r="G10" s="20">
        <v>0</v>
      </c>
      <c r="H10" s="20">
        <v>0</v>
      </c>
      <c r="I10" s="20">
        <v>0</v>
      </c>
      <c r="J10" s="9">
        <v>240572</v>
      </c>
      <c r="K10" s="9">
        <v>0</v>
      </c>
      <c r="L10" s="9">
        <f t="shared" si="5"/>
        <v>195300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16">
        <v>0</v>
      </c>
      <c r="S10" s="26">
        <v>15500</v>
      </c>
      <c r="T10" s="33">
        <f t="shared" si="6"/>
        <v>-465</v>
      </c>
      <c r="U10" s="33">
        <v>0</v>
      </c>
      <c r="V10" s="33">
        <v>0</v>
      </c>
      <c r="W10" s="33">
        <v>0</v>
      </c>
      <c r="X10" s="25">
        <v>0</v>
      </c>
      <c r="Y10" s="16">
        <v>15.7</v>
      </c>
      <c r="Z10" s="20">
        <f t="shared" si="1"/>
        <v>-7300.5</v>
      </c>
      <c r="AA10" s="21">
        <v>3100</v>
      </c>
      <c r="AB10" s="21">
        <v>0</v>
      </c>
      <c r="AC10" s="33">
        <v>0</v>
      </c>
      <c r="AD10" s="27">
        <v>45</v>
      </c>
      <c r="AE10" s="25">
        <f t="shared" si="2"/>
        <v>139500</v>
      </c>
      <c r="AF10" s="19">
        <f t="shared" si="7"/>
        <v>2812737.75</v>
      </c>
      <c r="AG10" s="9">
        <f t="shared" si="3"/>
        <v>181.46695161290322</v>
      </c>
      <c r="AH10" s="9">
        <f t="shared" si="4"/>
        <v>15.122245967741934</v>
      </c>
    </row>
    <row r="11" spans="1:34" x14ac:dyDescent="0.25">
      <c r="A11" s="29" t="s">
        <v>107</v>
      </c>
      <c r="B11" s="28">
        <v>2113825</v>
      </c>
      <c r="C11" s="22">
        <f t="shared" si="0"/>
        <v>2219516.25</v>
      </c>
      <c r="D11" s="22">
        <v>25150</v>
      </c>
      <c r="E11" s="22">
        <v>0</v>
      </c>
      <c r="F11" s="20">
        <v>0</v>
      </c>
      <c r="G11" s="20">
        <v>0</v>
      </c>
      <c r="H11" s="20">
        <v>0</v>
      </c>
      <c r="I11" s="20">
        <f t="shared" si="8"/>
        <v>-155366.13750000001</v>
      </c>
      <c r="J11" s="9">
        <v>240572</v>
      </c>
      <c r="K11" s="9">
        <v>0</v>
      </c>
      <c r="L11" s="9">
        <f t="shared" si="5"/>
        <v>195300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16">
        <v>0</v>
      </c>
      <c r="S11" s="26">
        <v>15500</v>
      </c>
      <c r="T11" s="33">
        <v>0</v>
      </c>
      <c r="U11" s="33">
        <f t="shared" si="9"/>
        <v>-775</v>
      </c>
      <c r="V11" s="33">
        <v>0</v>
      </c>
      <c r="W11" s="33">
        <v>0</v>
      </c>
      <c r="X11" s="25">
        <v>0</v>
      </c>
      <c r="Y11" s="16">
        <v>15.7</v>
      </c>
      <c r="Z11" s="20">
        <f t="shared" si="1"/>
        <v>-12167.5</v>
      </c>
      <c r="AA11" s="21">
        <v>3100</v>
      </c>
      <c r="AB11" s="21">
        <v>0</v>
      </c>
      <c r="AC11" s="33">
        <v>0</v>
      </c>
      <c r="AD11" s="27">
        <v>45</v>
      </c>
      <c r="AE11" s="25">
        <f t="shared" si="2"/>
        <v>139500</v>
      </c>
      <c r="AF11" s="19">
        <f t="shared" si="7"/>
        <v>2652504.6124999998</v>
      </c>
      <c r="AG11" s="9">
        <f t="shared" si="3"/>
        <v>171.12932983870965</v>
      </c>
      <c r="AH11" s="9">
        <f t="shared" si="4"/>
        <v>14.260777486559137</v>
      </c>
    </row>
    <row r="12" spans="1:34" x14ac:dyDescent="0.25">
      <c r="A12" s="29" t="s">
        <v>108</v>
      </c>
      <c r="B12" s="28">
        <v>2113825</v>
      </c>
      <c r="C12" s="22">
        <f t="shared" si="0"/>
        <v>2219516.25</v>
      </c>
      <c r="D12" s="22">
        <v>25150</v>
      </c>
      <c r="E12" s="22">
        <v>0</v>
      </c>
      <c r="F12" s="20">
        <v>0</v>
      </c>
      <c r="G12" s="20">
        <v>0</v>
      </c>
      <c r="H12" s="20">
        <v>0</v>
      </c>
      <c r="I12" s="20">
        <v>0</v>
      </c>
      <c r="J12" s="9">
        <v>240572</v>
      </c>
      <c r="K12" s="9">
        <v>0</v>
      </c>
      <c r="L12" s="9">
        <f t="shared" si="5"/>
        <v>195300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16">
        <v>0</v>
      </c>
      <c r="S12" s="26">
        <v>15500</v>
      </c>
      <c r="T12" s="33">
        <v>0</v>
      </c>
      <c r="U12" s="33">
        <v>0</v>
      </c>
      <c r="V12" s="33">
        <v>0</v>
      </c>
      <c r="W12" s="33">
        <v>0</v>
      </c>
      <c r="X12" s="25">
        <v>0</v>
      </c>
      <c r="Y12" s="16">
        <v>15.7</v>
      </c>
      <c r="Z12" s="20">
        <f t="shared" si="1"/>
        <v>0</v>
      </c>
      <c r="AA12" s="21">
        <v>3100</v>
      </c>
      <c r="AB12" s="21">
        <v>0</v>
      </c>
      <c r="AC12" s="33">
        <v>0</v>
      </c>
      <c r="AD12" s="27">
        <v>80</v>
      </c>
      <c r="AE12" s="25">
        <f t="shared" si="2"/>
        <v>248000</v>
      </c>
      <c r="AF12" s="19">
        <f t="shared" si="7"/>
        <v>2928538.25</v>
      </c>
      <c r="AG12" s="9">
        <f t="shared" si="3"/>
        <v>188.93795161290322</v>
      </c>
      <c r="AH12" s="9">
        <f t="shared" si="4"/>
        <v>15.744829301075269</v>
      </c>
    </row>
    <row r="13" spans="1:34" x14ac:dyDescent="0.25">
      <c r="A13" s="29" t="s">
        <v>109</v>
      </c>
      <c r="B13" s="28">
        <v>2113825</v>
      </c>
      <c r="C13" s="22">
        <f t="shared" si="0"/>
        <v>2219516.25</v>
      </c>
      <c r="D13" s="22">
        <v>25150</v>
      </c>
      <c r="E13" s="22">
        <v>0</v>
      </c>
      <c r="F13" s="20">
        <v>0</v>
      </c>
      <c r="G13" s="20">
        <v>0</v>
      </c>
      <c r="H13" s="20">
        <v>0</v>
      </c>
      <c r="I13" s="20">
        <v>0</v>
      </c>
      <c r="J13" s="9">
        <v>240572</v>
      </c>
      <c r="K13" s="9">
        <v>0</v>
      </c>
      <c r="L13" s="9">
        <f t="shared" si="5"/>
        <v>195300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16">
        <v>0</v>
      </c>
      <c r="S13" s="26">
        <v>15500</v>
      </c>
      <c r="T13" s="33">
        <f t="shared" si="6"/>
        <v>-465</v>
      </c>
      <c r="U13" s="33">
        <v>0</v>
      </c>
      <c r="V13" s="33">
        <v>0</v>
      </c>
      <c r="W13" s="33">
        <v>0</v>
      </c>
      <c r="X13" s="25">
        <v>0</v>
      </c>
      <c r="Y13" s="16">
        <v>15.7</v>
      </c>
      <c r="Z13" s="20">
        <f t="shared" si="1"/>
        <v>-7300.5</v>
      </c>
      <c r="AA13" s="21">
        <v>3100</v>
      </c>
      <c r="AB13" s="21">
        <v>0</v>
      </c>
      <c r="AC13" s="33">
        <v>0</v>
      </c>
      <c r="AD13" s="27">
        <v>80</v>
      </c>
      <c r="AE13" s="25">
        <f t="shared" si="2"/>
        <v>248000</v>
      </c>
      <c r="AF13" s="19">
        <f t="shared" si="7"/>
        <v>2921237.75</v>
      </c>
      <c r="AG13" s="9">
        <f t="shared" si="3"/>
        <v>188.46695161290322</v>
      </c>
      <c r="AH13" s="9">
        <f t="shared" si="4"/>
        <v>15.705579301075268</v>
      </c>
    </row>
    <row r="14" spans="1:34" x14ac:dyDescent="0.25">
      <c r="A14" s="29" t="s">
        <v>110</v>
      </c>
      <c r="B14" s="28">
        <v>2113825</v>
      </c>
      <c r="C14" s="22">
        <f t="shared" si="0"/>
        <v>2219516.25</v>
      </c>
      <c r="D14" s="22">
        <v>25150</v>
      </c>
      <c r="E14" s="22">
        <v>0</v>
      </c>
      <c r="F14" s="20">
        <v>0</v>
      </c>
      <c r="G14" s="20">
        <v>0</v>
      </c>
      <c r="H14" s="20">
        <v>0</v>
      </c>
      <c r="I14" s="20">
        <f t="shared" si="8"/>
        <v>-155366.13750000001</v>
      </c>
      <c r="J14" s="9">
        <v>240572</v>
      </c>
      <c r="K14" s="9">
        <v>0</v>
      </c>
      <c r="L14" s="9">
        <f t="shared" si="5"/>
        <v>195300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16">
        <v>0</v>
      </c>
      <c r="S14" s="26">
        <v>15500</v>
      </c>
      <c r="T14" s="33">
        <v>0</v>
      </c>
      <c r="U14" s="33">
        <f t="shared" si="9"/>
        <v>-775</v>
      </c>
      <c r="V14" s="33">
        <v>0</v>
      </c>
      <c r="W14" s="33">
        <v>0</v>
      </c>
      <c r="X14" s="25">
        <v>0</v>
      </c>
      <c r="Y14" s="16">
        <v>15.7</v>
      </c>
      <c r="Z14" s="20">
        <f t="shared" si="1"/>
        <v>-12167.5</v>
      </c>
      <c r="AA14" s="21">
        <v>3100</v>
      </c>
      <c r="AB14" s="21">
        <v>0</v>
      </c>
      <c r="AC14" s="33">
        <v>0</v>
      </c>
      <c r="AD14" s="27">
        <v>80</v>
      </c>
      <c r="AE14" s="25">
        <f t="shared" si="2"/>
        <v>248000</v>
      </c>
      <c r="AF14" s="19">
        <f t="shared" si="7"/>
        <v>2761004.6124999998</v>
      </c>
      <c r="AG14" s="9">
        <f t="shared" si="3"/>
        <v>178.12932983870965</v>
      </c>
      <c r="AH14" s="9">
        <f t="shared" si="4"/>
        <v>14.844110819892471</v>
      </c>
    </row>
    <row r="15" spans="1:34" x14ac:dyDescent="0.25">
      <c r="A15" s="29" t="s">
        <v>129</v>
      </c>
      <c r="B15" s="28">
        <v>2113825</v>
      </c>
      <c r="C15" s="22">
        <f t="shared" si="0"/>
        <v>2219516.25</v>
      </c>
      <c r="D15" s="22">
        <v>25150</v>
      </c>
      <c r="E15" s="22">
        <v>0</v>
      </c>
      <c r="F15" s="20">
        <v>0</v>
      </c>
      <c r="G15" s="20">
        <v>0</v>
      </c>
      <c r="H15" s="20">
        <v>0</v>
      </c>
      <c r="I15" s="20">
        <v>0</v>
      </c>
      <c r="J15" s="9">
        <v>240572</v>
      </c>
      <c r="K15" s="9">
        <v>0</v>
      </c>
      <c r="L15" s="9">
        <v>0</v>
      </c>
      <c r="M15" s="9">
        <f>15779*60/5</f>
        <v>189348</v>
      </c>
      <c r="N15" s="9">
        <v>0</v>
      </c>
      <c r="O15" s="9">
        <v>0</v>
      </c>
      <c r="P15" s="9">
        <v>0</v>
      </c>
      <c r="Q15" s="9">
        <v>0</v>
      </c>
      <c r="R15" s="16">
        <v>0</v>
      </c>
      <c r="S15" s="26">
        <v>15028</v>
      </c>
      <c r="T15" s="33">
        <v>0</v>
      </c>
      <c r="U15" s="33">
        <v>0</v>
      </c>
      <c r="V15" s="33">
        <v>0</v>
      </c>
      <c r="W15" s="33">
        <v>0</v>
      </c>
      <c r="X15" s="25">
        <v>0</v>
      </c>
      <c r="Y15" s="16">
        <v>15.7</v>
      </c>
      <c r="Z15" s="20">
        <f t="shared" si="1"/>
        <v>0</v>
      </c>
      <c r="AA15" s="21">
        <v>3006</v>
      </c>
      <c r="AB15" s="21">
        <v>0</v>
      </c>
      <c r="AC15" s="33">
        <v>0</v>
      </c>
      <c r="AD15" s="27">
        <v>0</v>
      </c>
      <c r="AE15" s="25">
        <f t="shared" si="2"/>
        <v>0</v>
      </c>
      <c r="AF15" s="19">
        <f t="shared" si="7"/>
        <v>2674586.25</v>
      </c>
      <c r="AG15" s="9">
        <f t="shared" si="3"/>
        <v>172.55395161290323</v>
      </c>
      <c r="AH15" s="9">
        <f t="shared" si="4"/>
        <v>14.379495967741937</v>
      </c>
    </row>
    <row r="16" spans="1:34" x14ac:dyDescent="0.25">
      <c r="A16" s="29" t="s">
        <v>130</v>
      </c>
      <c r="B16" s="28">
        <v>2113825</v>
      </c>
      <c r="C16" s="22">
        <f t="shared" si="0"/>
        <v>2219516.25</v>
      </c>
      <c r="D16" s="22">
        <v>25150</v>
      </c>
      <c r="E16" s="22">
        <v>0</v>
      </c>
      <c r="F16" s="20">
        <v>0</v>
      </c>
      <c r="G16" s="20">
        <v>0</v>
      </c>
      <c r="H16" s="20">
        <v>0</v>
      </c>
      <c r="I16" s="20">
        <v>0</v>
      </c>
      <c r="J16" s="9">
        <v>240572</v>
      </c>
      <c r="K16" s="9">
        <v>0</v>
      </c>
      <c r="L16" s="9">
        <v>0</v>
      </c>
      <c r="M16" s="9">
        <f t="shared" ref="M16:M23" si="10">15779*60/5</f>
        <v>189348</v>
      </c>
      <c r="N16" s="9">
        <v>0</v>
      </c>
      <c r="O16" s="9">
        <v>0</v>
      </c>
      <c r="P16" s="9">
        <v>0</v>
      </c>
      <c r="Q16" s="9">
        <v>0</v>
      </c>
      <c r="R16" s="16">
        <v>0</v>
      </c>
      <c r="S16" s="26">
        <v>15028</v>
      </c>
      <c r="T16" s="33">
        <f t="shared" ref="T16:T22" si="11">-(S16*0.03)</f>
        <v>-450.84</v>
      </c>
      <c r="U16" s="33">
        <v>0</v>
      </c>
      <c r="V16" s="33">
        <v>0</v>
      </c>
      <c r="W16" s="33">
        <v>0</v>
      </c>
      <c r="X16" s="25">
        <v>0</v>
      </c>
      <c r="Y16" s="16">
        <v>15.7</v>
      </c>
      <c r="Z16" s="20">
        <f t="shared" si="1"/>
        <v>-7078.1879999999992</v>
      </c>
      <c r="AA16" s="21">
        <v>3006</v>
      </c>
      <c r="AB16" s="21">
        <v>0</v>
      </c>
      <c r="AC16" s="33">
        <v>0</v>
      </c>
      <c r="AD16" s="27">
        <v>0</v>
      </c>
      <c r="AE16" s="25">
        <f t="shared" si="2"/>
        <v>0</v>
      </c>
      <c r="AF16" s="19">
        <f t="shared" si="7"/>
        <v>2667508.0619999999</v>
      </c>
      <c r="AG16" s="9">
        <f t="shared" si="3"/>
        <v>172.09729432258064</v>
      </c>
      <c r="AH16" s="9">
        <f t="shared" si="4"/>
        <v>14.341441193548386</v>
      </c>
    </row>
    <row r="17" spans="1:34" x14ac:dyDescent="0.25">
      <c r="A17" s="29" t="s">
        <v>131</v>
      </c>
      <c r="B17" s="28">
        <v>2113825</v>
      </c>
      <c r="C17" s="22">
        <f t="shared" si="0"/>
        <v>2219516.25</v>
      </c>
      <c r="D17" s="22">
        <v>25150</v>
      </c>
      <c r="E17" s="22">
        <v>0</v>
      </c>
      <c r="F17" s="20">
        <v>0</v>
      </c>
      <c r="G17" s="20">
        <v>0</v>
      </c>
      <c r="H17" s="20">
        <v>0</v>
      </c>
      <c r="I17" s="20">
        <f t="shared" si="8"/>
        <v>-155366.13750000001</v>
      </c>
      <c r="J17" s="9">
        <v>240572</v>
      </c>
      <c r="K17" s="9">
        <v>0</v>
      </c>
      <c r="L17" s="9">
        <v>0</v>
      </c>
      <c r="M17" s="9">
        <f t="shared" si="10"/>
        <v>189348</v>
      </c>
      <c r="N17" s="9">
        <v>0</v>
      </c>
      <c r="O17" s="9">
        <v>0</v>
      </c>
      <c r="P17" s="9">
        <v>0</v>
      </c>
      <c r="Q17" s="9">
        <v>0</v>
      </c>
      <c r="R17" s="16">
        <v>0</v>
      </c>
      <c r="S17" s="26">
        <v>15028</v>
      </c>
      <c r="T17" s="33">
        <v>0</v>
      </c>
      <c r="U17" s="33">
        <f t="shared" ref="U17:U23" si="12">-(S17*0.05)</f>
        <v>-751.40000000000009</v>
      </c>
      <c r="V17" s="33">
        <v>0</v>
      </c>
      <c r="W17" s="33">
        <v>0</v>
      </c>
      <c r="X17" s="25">
        <v>0</v>
      </c>
      <c r="Y17" s="16">
        <v>15.7</v>
      </c>
      <c r="Z17" s="20">
        <f t="shared" si="1"/>
        <v>-11796.980000000001</v>
      </c>
      <c r="AA17" s="21">
        <v>3006</v>
      </c>
      <c r="AB17" s="21">
        <v>0</v>
      </c>
      <c r="AC17" s="33">
        <v>0</v>
      </c>
      <c r="AD17" s="27">
        <v>0</v>
      </c>
      <c r="AE17" s="25">
        <f t="shared" si="2"/>
        <v>0</v>
      </c>
      <c r="AF17" s="19">
        <f t="shared" si="7"/>
        <v>2507423.1324999998</v>
      </c>
      <c r="AG17" s="9">
        <f t="shared" si="3"/>
        <v>161.76923435483869</v>
      </c>
      <c r="AH17" s="9">
        <f t="shared" si="4"/>
        <v>13.480769529569891</v>
      </c>
    </row>
    <row r="18" spans="1:34" x14ac:dyDescent="0.25">
      <c r="A18" s="29" t="s">
        <v>132</v>
      </c>
      <c r="B18" s="28">
        <v>2113825</v>
      </c>
      <c r="C18" s="22">
        <f t="shared" si="0"/>
        <v>2219516.25</v>
      </c>
      <c r="D18" s="22">
        <v>25150</v>
      </c>
      <c r="E18" s="22">
        <v>0</v>
      </c>
      <c r="F18" s="20">
        <v>0</v>
      </c>
      <c r="G18" s="20">
        <v>0</v>
      </c>
      <c r="H18" s="20">
        <v>0</v>
      </c>
      <c r="I18" s="20">
        <v>0</v>
      </c>
      <c r="J18" s="9">
        <v>240572</v>
      </c>
      <c r="K18" s="9">
        <v>0</v>
      </c>
      <c r="L18" s="9">
        <v>0</v>
      </c>
      <c r="M18" s="9">
        <f t="shared" si="10"/>
        <v>189348</v>
      </c>
      <c r="N18" s="9">
        <v>0</v>
      </c>
      <c r="O18" s="9">
        <v>0</v>
      </c>
      <c r="P18" s="9">
        <v>0</v>
      </c>
      <c r="Q18" s="9">
        <v>0</v>
      </c>
      <c r="R18" s="16">
        <v>0</v>
      </c>
      <c r="S18" s="26">
        <v>15028</v>
      </c>
      <c r="T18" s="33">
        <v>0</v>
      </c>
      <c r="U18" s="33">
        <v>0</v>
      </c>
      <c r="V18" s="33">
        <v>0</v>
      </c>
      <c r="W18" s="33">
        <v>0</v>
      </c>
      <c r="X18" s="25">
        <v>0</v>
      </c>
      <c r="Y18" s="16">
        <v>15.7</v>
      </c>
      <c r="Z18" s="20">
        <f t="shared" si="1"/>
        <v>0</v>
      </c>
      <c r="AA18" s="21">
        <v>3006</v>
      </c>
      <c r="AB18" s="21">
        <v>0</v>
      </c>
      <c r="AC18" s="33">
        <v>0</v>
      </c>
      <c r="AD18" s="27">
        <v>45</v>
      </c>
      <c r="AE18" s="25">
        <f t="shared" si="2"/>
        <v>135270</v>
      </c>
      <c r="AF18" s="19">
        <f t="shared" si="7"/>
        <v>2809856.25</v>
      </c>
      <c r="AG18" s="9">
        <f t="shared" si="3"/>
        <v>181.28104838709677</v>
      </c>
      <c r="AH18" s="9">
        <f t="shared" si="4"/>
        <v>15.106754032258065</v>
      </c>
    </row>
    <row r="19" spans="1:34" x14ac:dyDescent="0.25">
      <c r="A19" s="29" t="s">
        <v>133</v>
      </c>
      <c r="B19" s="28">
        <v>2113825</v>
      </c>
      <c r="C19" s="22">
        <f t="shared" si="0"/>
        <v>2219516.25</v>
      </c>
      <c r="D19" s="22">
        <v>25150</v>
      </c>
      <c r="E19" s="22">
        <v>0</v>
      </c>
      <c r="F19" s="20">
        <v>0</v>
      </c>
      <c r="G19" s="20">
        <v>0</v>
      </c>
      <c r="H19" s="20">
        <v>0</v>
      </c>
      <c r="I19" s="20">
        <v>0</v>
      </c>
      <c r="J19" s="9">
        <v>240572</v>
      </c>
      <c r="K19" s="9">
        <v>0</v>
      </c>
      <c r="L19" s="9">
        <v>0</v>
      </c>
      <c r="M19" s="9">
        <f t="shared" si="10"/>
        <v>189348</v>
      </c>
      <c r="N19" s="9">
        <v>0</v>
      </c>
      <c r="O19" s="9">
        <v>0</v>
      </c>
      <c r="P19" s="9">
        <v>0</v>
      </c>
      <c r="Q19" s="9">
        <v>0</v>
      </c>
      <c r="R19" s="16">
        <v>0</v>
      </c>
      <c r="S19" s="26">
        <v>15028</v>
      </c>
      <c r="T19" s="33">
        <f t="shared" si="11"/>
        <v>-450.84</v>
      </c>
      <c r="U19" s="33">
        <v>0</v>
      </c>
      <c r="V19" s="33">
        <v>0</v>
      </c>
      <c r="W19" s="33">
        <v>0</v>
      </c>
      <c r="X19" s="25">
        <v>0</v>
      </c>
      <c r="Y19" s="16">
        <v>15.7</v>
      </c>
      <c r="Z19" s="20">
        <f t="shared" si="1"/>
        <v>-7078.1879999999992</v>
      </c>
      <c r="AA19" s="21">
        <v>3006</v>
      </c>
      <c r="AB19" s="21">
        <v>0</v>
      </c>
      <c r="AC19" s="33">
        <v>0</v>
      </c>
      <c r="AD19" s="27">
        <v>45</v>
      </c>
      <c r="AE19" s="25">
        <f t="shared" si="2"/>
        <v>135270</v>
      </c>
      <c r="AF19" s="19">
        <f t="shared" si="7"/>
        <v>2802778.0619999999</v>
      </c>
      <c r="AG19" s="9">
        <f t="shared" si="3"/>
        <v>180.82439109677418</v>
      </c>
      <c r="AH19" s="9">
        <f t="shared" si="4"/>
        <v>15.068699258064514</v>
      </c>
    </row>
    <row r="20" spans="1:34" x14ac:dyDescent="0.25">
      <c r="A20" s="29" t="s">
        <v>134</v>
      </c>
      <c r="B20" s="28">
        <v>2113825</v>
      </c>
      <c r="C20" s="22">
        <f t="shared" si="0"/>
        <v>2219516.25</v>
      </c>
      <c r="D20" s="22">
        <v>25150</v>
      </c>
      <c r="E20" s="22">
        <v>0</v>
      </c>
      <c r="F20" s="20">
        <v>0</v>
      </c>
      <c r="G20" s="20">
        <v>0</v>
      </c>
      <c r="H20" s="20">
        <v>0</v>
      </c>
      <c r="I20" s="20">
        <f t="shared" si="8"/>
        <v>-155366.13750000001</v>
      </c>
      <c r="J20" s="9">
        <v>240572</v>
      </c>
      <c r="K20" s="9">
        <v>0</v>
      </c>
      <c r="L20" s="9">
        <v>0</v>
      </c>
      <c r="M20" s="9">
        <f t="shared" si="10"/>
        <v>189348</v>
      </c>
      <c r="N20" s="9">
        <v>0</v>
      </c>
      <c r="O20" s="9">
        <v>0</v>
      </c>
      <c r="P20" s="9">
        <v>0</v>
      </c>
      <c r="Q20" s="9">
        <v>0</v>
      </c>
      <c r="R20" s="16">
        <v>0</v>
      </c>
      <c r="S20" s="26">
        <v>15028</v>
      </c>
      <c r="T20" s="33">
        <v>0</v>
      </c>
      <c r="U20" s="33">
        <f t="shared" si="12"/>
        <v>-751.40000000000009</v>
      </c>
      <c r="V20" s="33">
        <v>0</v>
      </c>
      <c r="W20" s="33">
        <v>0</v>
      </c>
      <c r="X20" s="25">
        <v>0</v>
      </c>
      <c r="Y20" s="16">
        <v>15.7</v>
      </c>
      <c r="Z20" s="20">
        <f t="shared" si="1"/>
        <v>-11796.980000000001</v>
      </c>
      <c r="AA20" s="21">
        <v>3006</v>
      </c>
      <c r="AB20" s="21">
        <v>0</v>
      </c>
      <c r="AC20" s="33">
        <v>0</v>
      </c>
      <c r="AD20" s="27">
        <v>45</v>
      </c>
      <c r="AE20" s="25">
        <f t="shared" si="2"/>
        <v>135270</v>
      </c>
      <c r="AF20" s="19">
        <f t="shared" si="7"/>
        <v>2642693.1324999998</v>
      </c>
      <c r="AG20" s="9">
        <f t="shared" si="3"/>
        <v>170.49633112903226</v>
      </c>
      <c r="AH20" s="9">
        <f t="shared" si="4"/>
        <v>14.208027594086021</v>
      </c>
    </row>
    <row r="21" spans="1:34" x14ac:dyDescent="0.25">
      <c r="A21" s="29" t="s">
        <v>135</v>
      </c>
      <c r="B21" s="28">
        <v>2113825</v>
      </c>
      <c r="C21" s="22">
        <f t="shared" si="0"/>
        <v>2219516.25</v>
      </c>
      <c r="D21" s="22">
        <v>25150</v>
      </c>
      <c r="E21" s="22">
        <v>0</v>
      </c>
      <c r="F21" s="20">
        <v>0</v>
      </c>
      <c r="G21" s="20">
        <v>0</v>
      </c>
      <c r="H21" s="20">
        <v>0</v>
      </c>
      <c r="I21" s="20">
        <v>0</v>
      </c>
      <c r="J21" s="9">
        <v>240572</v>
      </c>
      <c r="K21" s="9">
        <v>0</v>
      </c>
      <c r="L21" s="9">
        <v>0</v>
      </c>
      <c r="M21" s="9">
        <f t="shared" si="10"/>
        <v>189348</v>
      </c>
      <c r="N21" s="9">
        <v>0</v>
      </c>
      <c r="O21" s="9">
        <v>0</v>
      </c>
      <c r="P21" s="9">
        <v>0</v>
      </c>
      <c r="Q21" s="9">
        <v>0</v>
      </c>
      <c r="R21" s="16">
        <v>0</v>
      </c>
      <c r="S21" s="26">
        <v>15028</v>
      </c>
      <c r="T21" s="33">
        <v>0</v>
      </c>
      <c r="U21" s="33">
        <v>0</v>
      </c>
      <c r="V21" s="33">
        <v>0</v>
      </c>
      <c r="W21" s="33">
        <v>0</v>
      </c>
      <c r="X21" s="25">
        <v>0</v>
      </c>
      <c r="Y21" s="16">
        <v>15.7</v>
      </c>
      <c r="Z21" s="20">
        <f t="shared" si="1"/>
        <v>0</v>
      </c>
      <c r="AA21" s="21">
        <v>3006</v>
      </c>
      <c r="AB21" s="21">
        <v>0</v>
      </c>
      <c r="AC21" s="33">
        <v>0</v>
      </c>
      <c r="AD21" s="27">
        <v>80</v>
      </c>
      <c r="AE21" s="25">
        <f t="shared" si="2"/>
        <v>240480</v>
      </c>
      <c r="AF21" s="19">
        <f t="shared" si="7"/>
        <v>2915066.25</v>
      </c>
      <c r="AG21" s="9">
        <f t="shared" si="3"/>
        <v>188.06879032258064</v>
      </c>
      <c r="AH21" s="9">
        <f t="shared" si="4"/>
        <v>15.672399193548387</v>
      </c>
    </row>
    <row r="22" spans="1:34" x14ac:dyDescent="0.25">
      <c r="A22" s="29" t="s">
        <v>136</v>
      </c>
      <c r="B22" s="28">
        <v>2113825</v>
      </c>
      <c r="C22" s="22">
        <f t="shared" si="0"/>
        <v>2219516.25</v>
      </c>
      <c r="D22" s="22">
        <v>25150</v>
      </c>
      <c r="E22" s="22">
        <v>0</v>
      </c>
      <c r="F22" s="20">
        <v>0</v>
      </c>
      <c r="G22" s="20">
        <v>0</v>
      </c>
      <c r="H22" s="20">
        <v>0</v>
      </c>
      <c r="I22" s="20">
        <v>0</v>
      </c>
      <c r="J22" s="9">
        <v>240572</v>
      </c>
      <c r="K22" s="9">
        <v>0</v>
      </c>
      <c r="L22" s="9">
        <v>0</v>
      </c>
      <c r="M22" s="9">
        <f t="shared" si="10"/>
        <v>189348</v>
      </c>
      <c r="N22" s="9">
        <v>0</v>
      </c>
      <c r="O22" s="9">
        <v>0</v>
      </c>
      <c r="P22" s="9">
        <v>0</v>
      </c>
      <c r="Q22" s="9">
        <v>0</v>
      </c>
      <c r="R22" s="16">
        <v>0</v>
      </c>
      <c r="S22" s="26">
        <v>15028</v>
      </c>
      <c r="T22" s="33">
        <f t="shared" si="11"/>
        <v>-450.84</v>
      </c>
      <c r="U22" s="33">
        <v>0</v>
      </c>
      <c r="V22" s="33">
        <v>0</v>
      </c>
      <c r="W22" s="33">
        <v>0</v>
      </c>
      <c r="X22" s="25">
        <v>0</v>
      </c>
      <c r="Y22" s="16">
        <v>15.7</v>
      </c>
      <c r="Z22" s="20">
        <f t="shared" si="1"/>
        <v>-7078.1879999999992</v>
      </c>
      <c r="AA22" s="21">
        <v>3006</v>
      </c>
      <c r="AB22" s="21">
        <v>0</v>
      </c>
      <c r="AC22" s="33">
        <v>0</v>
      </c>
      <c r="AD22" s="27">
        <v>80</v>
      </c>
      <c r="AE22" s="25">
        <f t="shared" si="2"/>
        <v>240480</v>
      </c>
      <c r="AF22" s="19">
        <f t="shared" si="7"/>
        <v>2907988.0619999999</v>
      </c>
      <c r="AG22" s="9">
        <f t="shared" si="3"/>
        <v>187.61213303225807</v>
      </c>
      <c r="AH22" s="9">
        <f t="shared" si="4"/>
        <v>15.634344419354839</v>
      </c>
    </row>
    <row r="23" spans="1:34" x14ac:dyDescent="0.25">
      <c r="A23" s="29" t="s">
        <v>137</v>
      </c>
      <c r="B23" s="28">
        <v>2113825</v>
      </c>
      <c r="C23" s="22">
        <f t="shared" si="0"/>
        <v>2219516.25</v>
      </c>
      <c r="D23" s="22">
        <v>25150</v>
      </c>
      <c r="E23" s="22">
        <v>0</v>
      </c>
      <c r="F23" s="20">
        <v>0</v>
      </c>
      <c r="G23" s="20">
        <v>0</v>
      </c>
      <c r="H23" s="20">
        <v>0</v>
      </c>
      <c r="I23" s="20">
        <f t="shared" si="8"/>
        <v>-155366.13750000001</v>
      </c>
      <c r="J23" s="9">
        <v>240572</v>
      </c>
      <c r="K23" s="9">
        <v>0</v>
      </c>
      <c r="L23" s="9">
        <v>0</v>
      </c>
      <c r="M23" s="9">
        <f t="shared" si="10"/>
        <v>189348</v>
      </c>
      <c r="N23" s="9">
        <v>0</v>
      </c>
      <c r="O23" s="9">
        <v>0</v>
      </c>
      <c r="P23" s="9">
        <v>0</v>
      </c>
      <c r="Q23" s="9">
        <v>0</v>
      </c>
      <c r="R23" s="16">
        <v>0</v>
      </c>
      <c r="S23" s="26">
        <v>15028</v>
      </c>
      <c r="T23" s="33">
        <v>0</v>
      </c>
      <c r="U23" s="33">
        <f t="shared" si="12"/>
        <v>-751.40000000000009</v>
      </c>
      <c r="V23" s="33">
        <v>0</v>
      </c>
      <c r="W23" s="33">
        <v>0</v>
      </c>
      <c r="X23" s="25">
        <v>0</v>
      </c>
      <c r="Y23" s="16">
        <v>15.7</v>
      </c>
      <c r="Z23" s="20">
        <f t="shared" si="1"/>
        <v>-11796.980000000001</v>
      </c>
      <c r="AA23" s="21">
        <v>3006</v>
      </c>
      <c r="AB23" s="21">
        <v>0</v>
      </c>
      <c r="AC23" s="33">
        <v>0</v>
      </c>
      <c r="AD23" s="27">
        <v>80</v>
      </c>
      <c r="AE23" s="25">
        <f t="shared" si="2"/>
        <v>240480</v>
      </c>
      <c r="AF23" s="19">
        <f t="shared" si="7"/>
        <v>2747903.1324999998</v>
      </c>
      <c r="AG23" s="9">
        <f t="shared" si="3"/>
        <v>177.28407306451612</v>
      </c>
      <c r="AH23" s="9">
        <f t="shared" si="4"/>
        <v>14.773672755376344</v>
      </c>
    </row>
    <row r="24" spans="1:34" x14ac:dyDescent="0.25">
      <c r="A24" s="29" t="s">
        <v>111</v>
      </c>
      <c r="B24" s="28">
        <v>2113825</v>
      </c>
      <c r="C24" s="22">
        <f t="shared" si="0"/>
        <v>2219516.25</v>
      </c>
      <c r="D24" s="22">
        <v>25150</v>
      </c>
      <c r="E24" s="22">
        <v>0</v>
      </c>
      <c r="F24" s="20">
        <f t="shared" ref="F24:F41" si="13">-(C24*0.037)</f>
        <v>-82122.101249999992</v>
      </c>
      <c r="G24" s="20">
        <v>0</v>
      </c>
      <c r="H24" s="20">
        <v>0</v>
      </c>
      <c r="I24" s="20">
        <v>0</v>
      </c>
      <c r="J24" s="9">
        <v>240572</v>
      </c>
      <c r="K24" s="9">
        <f>4000*3</f>
        <v>12000</v>
      </c>
      <c r="L24" s="9">
        <v>0</v>
      </c>
      <c r="M24" s="9">
        <v>0</v>
      </c>
      <c r="N24" s="9">
        <f>15500*50/10</f>
        <v>77500</v>
      </c>
      <c r="O24" s="9">
        <v>0</v>
      </c>
      <c r="P24" s="9">
        <v>0</v>
      </c>
      <c r="Q24" s="9">
        <v>0</v>
      </c>
      <c r="R24" s="16">
        <v>0</v>
      </c>
      <c r="S24" s="26">
        <v>15500</v>
      </c>
      <c r="T24" s="33">
        <v>0</v>
      </c>
      <c r="U24" s="33">
        <v>0</v>
      </c>
      <c r="V24" s="33">
        <v>-93</v>
      </c>
      <c r="W24" s="33">
        <v>0</v>
      </c>
      <c r="X24" s="25">
        <v>0</v>
      </c>
      <c r="Y24" s="16">
        <v>15.7</v>
      </c>
      <c r="Z24" s="20">
        <f t="shared" si="1"/>
        <v>-1460.1</v>
      </c>
      <c r="AA24" s="21">
        <v>3100</v>
      </c>
      <c r="AB24" s="21">
        <f t="shared" ref="AB24:AB98" si="14">AA24*0.03</f>
        <v>93</v>
      </c>
      <c r="AC24" s="33">
        <v>0</v>
      </c>
      <c r="AD24" s="27">
        <v>0</v>
      </c>
      <c r="AE24" s="25">
        <f t="shared" si="2"/>
        <v>0</v>
      </c>
      <c r="AF24" s="19">
        <f t="shared" si="7"/>
        <v>2491156.0487500001</v>
      </c>
      <c r="AG24" s="9">
        <f t="shared" si="3"/>
        <v>160.71974508064517</v>
      </c>
      <c r="AH24" s="9">
        <f t="shared" si="4"/>
        <v>13.393312090053763</v>
      </c>
    </row>
    <row r="25" spans="1:34" x14ac:dyDescent="0.25">
      <c r="A25" s="29" t="s">
        <v>112</v>
      </c>
      <c r="B25" s="28">
        <v>2113825</v>
      </c>
      <c r="C25" s="22">
        <f t="shared" si="0"/>
        <v>2219516.25</v>
      </c>
      <c r="D25" s="22">
        <v>25150</v>
      </c>
      <c r="E25" s="22">
        <v>0</v>
      </c>
      <c r="F25" s="20">
        <f t="shared" si="13"/>
        <v>-82122.101249999992</v>
      </c>
      <c r="G25" s="20">
        <v>0</v>
      </c>
      <c r="H25" s="20">
        <v>0</v>
      </c>
      <c r="I25" s="20">
        <v>0</v>
      </c>
      <c r="J25" s="9">
        <v>240572</v>
      </c>
      <c r="K25" s="9">
        <f t="shared" ref="K25:K41" si="15">4000*3</f>
        <v>12000</v>
      </c>
      <c r="L25" s="9">
        <v>0</v>
      </c>
      <c r="M25" s="9">
        <v>0</v>
      </c>
      <c r="N25" s="9">
        <f t="shared" ref="N25:N68" si="16">15500*50/10</f>
        <v>77500</v>
      </c>
      <c r="O25" s="9">
        <v>0</v>
      </c>
      <c r="P25" s="9">
        <v>0</v>
      </c>
      <c r="Q25" s="9">
        <v>0</v>
      </c>
      <c r="R25" s="16">
        <v>0</v>
      </c>
      <c r="S25" s="26">
        <v>15500</v>
      </c>
      <c r="T25" s="33">
        <f t="shared" si="6"/>
        <v>-465</v>
      </c>
      <c r="U25" s="33">
        <v>0</v>
      </c>
      <c r="V25" s="33">
        <v>-93</v>
      </c>
      <c r="W25" s="33">
        <v>0</v>
      </c>
      <c r="X25" s="25">
        <v>0</v>
      </c>
      <c r="Y25" s="16">
        <v>15.7</v>
      </c>
      <c r="Z25" s="20">
        <f t="shared" si="1"/>
        <v>-8760.6</v>
      </c>
      <c r="AA25" s="21">
        <v>3100</v>
      </c>
      <c r="AB25" s="21">
        <f t="shared" si="14"/>
        <v>93</v>
      </c>
      <c r="AC25" s="33">
        <v>0</v>
      </c>
      <c r="AD25" s="27">
        <v>0</v>
      </c>
      <c r="AE25" s="25">
        <f t="shared" si="2"/>
        <v>0</v>
      </c>
      <c r="AF25" s="19">
        <f t="shared" si="7"/>
        <v>2483855.5487500001</v>
      </c>
      <c r="AG25" s="9">
        <f t="shared" si="3"/>
        <v>160.24874508064516</v>
      </c>
      <c r="AH25" s="9">
        <f t="shared" si="4"/>
        <v>13.354062090053764</v>
      </c>
    </row>
    <row r="26" spans="1:34" x14ac:dyDescent="0.25">
      <c r="A26" s="29" t="s">
        <v>113</v>
      </c>
      <c r="B26" s="28">
        <v>2113825</v>
      </c>
      <c r="C26" s="22">
        <f t="shared" si="0"/>
        <v>2219516.25</v>
      </c>
      <c r="D26" s="22">
        <v>25150</v>
      </c>
      <c r="E26" s="22">
        <v>0</v>
      </c>
      <c r="F26" s="20">
        <f t="shared" si="13"/>
        <v>-82122.101249999992</v>
      </c>
      <c r="G26" s="20">
        <v>0</v>
      </c>
      <c r="H26" s="20">
        <v>0</v>
      </c>
      <c r="I26" s="20">
        <f t="shared" si="8"/>
        <v>-155366.13750000001</v>
      </c>
      <c r="J26" s="9">
        <v>240572</v>
      </c>
      <c r="K26" s="9">
        <f t="shared" si="15"/>
        <v>12000</v>
      </c>
      <c r="L26" s="9">
        <v>0</v>
      </c>
      <c r="M26" s="9">
        <v>0</v>
      </c>
      <c r="N26" s="9">
        <f t="shared" si="16"/>
        <v>77500</v>
      </c>
      <c r="O26" s="9">
        <v>0</v>
      </c>
      <c r="P26" s="9">
        <v>0</v>
      </c>
      <c r="Q26" s="9">
        <v>0</v>
      </c>
      <c r="R26" s="16">
        <v>0</v>
      </c>
      <c r="S26" s="26">
        <v>15500</v>
      </c>
      <c r="T26" s="33">
        <v>0</v>
      </c>
      <c r="U26" s="33">
        <f t="shared" si="9"/>
        <v>-775</v>
      </c>
      <c r="V26" s="33">
        <v>-93</v>
      </c>
      <c r="W26" s="33">
        <v>0</v>
      </c>
      <c r="X26" s="25">
        <v>0</v>
      </c>
      <c r="Y26" s="16">
        <v>15.7</v>
      </c>
      <c r="Z26" s="20">
        <f t="shared" si="1"/>
        <v>-13627.599999999999</v>
      </c>
      <c r="AA26" s="21">
        <v>3100</v>
      </c>
      <c r="AB26" s="21">
        <f t="shared" si="14"/>
        <v>93</v>
      </c>
      <c r="AC26" s="33">
        <v>0</v>
      </c>
      <c r="AD26" s="27">
        <v>0</v>
      </c>
      <c r="AE26" s="25">
        <f t="shared" si="2"/>
        <v>0</v>
      </c>
      <c r="AF26" s="19">
        <f t="shared" si="7"/>
        <v>2323622.4112500004</v>
      </c>
      <c r="AG26" s="9">
        <f t="shared" si="3"/>
        <v>149.91112330645163</v>
      </c>
      <c r="AH26" s="9">
        <f t="shared" si="4"/>
        <v>12.492593608870969</v>
      </c>
    </row>
    <row r="27" spans="1:34" x14ac:dyDescent="0.25">
      <c r="A27" s="29" t="s">
        <v>114</v>
      </c>
      <c r="B27" s="28">
        <v>2113825</v>
      </c>
      <c r="C27" s="22">
        <f t="shared" si="0"/>
        <v>2219516.25</v>
      </c>
      <c r="D27" s="22">
        <v>25150</v>
      </c>
      <c r="E27" s="22">
        <v>0</v>
      </c>
      <c r="F27" s="20">
        <f t="shared" si="13"/>
        <v>-82122.101249999992</v>
      </c>
      <c r="G27" s="20">
        <v>0</v>
      </c>
      <c r="H27" s="20">
        <v>0</v>
      </c>
      <c r="I27" s="20">
        <v>0</v>
      </c>
      <c r="J27" s="9">
        <v>240572</v>
      </c>
      <c r="K27" s="9">
        <f t="shared" si="15"/>
        <v>12000</v>
      </c>
      <c r="L27" s="9">
        <v>0</v>
      </c>
      <c r="M27" s="9">
        <v>0</v>
      </c>
      <c r="N27" s="9">
        <f t="shared" si="16"/>
        <v>77500</v>
      </c>
      <c r="O27" s="9">
        <v>0</v>
      </c>
      <c r="P27" s="9">
        <v>0</v>
      </c>
      <c r="Q27" s="9">
        <v>0</v>
      </c>
      <c r="R27" s="16">
        <v>0</v>
      </c>
      <c r="S27" s="26">
        <v>15500</v>
      </c>
      <c r="T27" s="33">
        <v>0</v>
      </c>
      <c r="U27" s="33">
        <v>0</v>
      </c>
      <c r="V27" s="33">
        <v>-93</v>
      </c>
      <c r="W27" s="33">
        <v>0</v>
      </c>
      <c r="X27" s="25">
        <v>0</v>
      </c>
      <c r="Y27" s="16">
        <v>15.7</v>
      </c>
      <c r="Z27" s="20">
        <f t="shared" si="1"/>
        <v>-1460.1</v>
      </c>
      <c r="AA27" s="21">
        <v>3100</v>
      </c>
      <c r="AB27" s="21">
        <f t="shared" si="14"/>
        <v>93</v>
      </c>
      <c r="AC27" s="33">
        <v>0</v>
      </c>
      <c r="AD27" s="27">
        <v>45</v>
      </c>
      <c r="AE27" s="25">
        <f t="shared" si="2"/>
        <v>143685</v>
      </c>
      <c r="AF27" s="19">
        <f t="shared" si="7"/>
        <v>2634841.0487500001</v>
      </c>
      <c r="AG27" s="9">
        <f t="shared" si="3"/>
        <v>169.98974508064518</v>
      </c>
      <c r="AH27" s="9">
        <f t="shared" si="4"/>
        <v>14.165812090053764</v>
      </c>
    </row>
    <row r="28" spans="1:34" x14ac:dyDescent="0.25">
      <c r="A28" s="29" t="s">
        <v>115</v>
      </c>
      <c r="B28" s="28">
        <v>2113825</v>
      </c>
      <c r="C28" s="22">
        <f t="shared" si="0"/>
        <v>2219516.25</v>
      </c>
      <c r="D28" s="22">
        <v>25150</v>
      </c>
      <c r="E28" s="22">
        <v>0</v>
      </c>
      <c r="F28" s="20">
        <f t="shared" si="13"/>
        <v>-82122.101249999992</v>
      </c>
      <c r="G28" s="20">
        <v>0</v>
      </c>
      <c r="H28" s="20">
        <v>0</v>
      </c>
      <c r="I28" s="20">
        <v>0</v>
      </c>
      <c r="J28" s="9">
        <v>240572</v>
      </c>
      <c r="K28" s="9">
        <f t="shared" si="15"/>
        <v>12000</v>
      </c>
      <c r="L28" s="9">
        <v>0</v>
      </c>
      <c r="M28" s="9">
        <v>0</v>
      </c>
      <c r="N28" s="9">
        <f t="shared" si="16"/>
        <v>77500</v>
      </c>
      <c r="O28" s="9">
        <v>0</v>
      </c>
      <c r="P28" s="9">
        <v>0</v>
      </c>
      <c r="Q28" s="9">
        <v>0</v>
      </c>
      <c r="R28" s="16">
        <v>0</v>
      </c>
      <c r="S28" s="26">
        <v>15500</v>
      </c>
      <c r="T28" s="33">
        <f t="shared" si="6"/>
        <v>-465</v>
      </c>
      <c r="U28" s="33">
        <v>0</v>
      </c>
      <c r="V28" s="33">
        <v>-93</v>
      </c>
      <c r="W28" s="33">
        <v>0</v>
      </c>
      <c r="X28" s="25">
        <v>0</v>
      </c>
      <c r="Y28" s="16">
        <v>15.7</v>
      </c>
      <c r="Z28" s="20">
        <f t="shared" si="1"/>
        <v>-8760.6</v>
      </c>
      <c r="AA28" s="21">
        <v>3100</v>
      </c>
      <c r="AB28" s="21">
        <f t="shared" si="14"/>
        <v>93</v>
      </c>
      <c r="AC28" s="33">
        <v>0</v>
      </c>
      <c r="AD28" s="27">
        <v>45</v>
      </c>
      <c r="AE28" s="25">
        <f t="shared" si="2"/>
        <v>143685</v>
      </c>
      <c r="AF28" s="19">
        <f t="shared" si="7"/>
        <v>2627540.5487500001</v>
      </c>
      <c r="AG28" s="9">
        <f t="shared" si="3"/>
        <v>169.51874508064517</v>
      </c>
      <c r="AH28" s="9">
        <f t="shared" si="4"/>
        <v>14.126562090053765</v>
      </c>
    </row>
    <row r="29" spans="1:34" x14ac:dyDescent="0.25">
      <c r="A29" s="29" t="s">
        <v>116</v>
      </c>
      <c r="B29" s="28">
        <v>2113825</v>
      </c>
      <c r="C29" s="22">
        <f t="shared" si="0"/>
        <v>2219516.25</v>
      </c>
      <c r="D29" s="22">
        <v>25150</v>
      </c>
      <c r="E29" s="22">
        <v>0</v>
      </c>
      <c r="F29" s="20">
        <f t="shared" si="13"/>
        <v>-82122.101249999992</v>
      </c>
      <c r="G29" s="20">
        <v>0</v>
      </c>
      <c r="H29" s="20">
        <v>0</v>
      </c>
      <c r="I29" s="20">
        <f t="shared" si="8"/>
        <v>-155366.13750000001</v>
      </c>
      <c r="J29" s="9">
        <v>240572</v>
      </c>
      <c r="K29" s="9">
        <f t="shared" si="15"/>
        <v>12000</v>
      </c>
      <c r="L29" s="9">
        <v>0</v>
      </c>
      <c r="M29" s="9">
        <v>0</v>
      </c>
      <c r="N29" s="9">
        <f t="shared" si="16"/>
        <v>77500</v>
      </c>
      <c r="O29" s="9">
        <v>0</v>
      </c>
      <c r="P29" s="9">
        <v>0</v>
      </c>
      <c r="Q29" s="9">
        <v>0</v>
      </c>
      <c r="R29" s="16">
        <v>0</v>
      </c>
      <c r="S29" s="26">
        <v>15500</v>
      </c>
      <c r="T29" s="33">
        <v>0</v>
      </c>
      <c r="U29" s="33">
        <f t="shared" si="9"/>
        <v>-775</v>
      </c>
      <c r="V29" s="33">
        <v>-93</v>
      </c>
      <c r="W29" s="33">
        <v>0</v>
      </c>
      <c r="X29" s="25">
        <v>0</v>
      </c>
      <c r="Y29" s="16">
        <v>15.7</v>
      </c>
      <c r="Z29" s="20">
        <f t="shared" si="1"/>
        <v>-13627.599999999999</v>
      </c>
      <c r="AA29" s="21">
        <v>3100</v>
      </c>
      <c r="AB29" s="21">
        <f t="shared" si="14"/>
        <v>93</v>
      </c>
      <c r="AC29" s="33">
        <v>0</v>
      </c>
      <c r="AD29" s="27">
        <v>45</v>
      </c>
      <c r="AE29" s="25">
        <f t="shared" si="2"/>
        <v>143685</v>
      </c>
      <c r="AF29" s="19">
        <f t="shared" si="7"/>
        <v>2467307.4112500004</v>
      </c>
      <c r="AG29" s="9">
        <f t="shared" si="3"/>
        <v>159.18112330645164</v>
      </c>
      <c r="AH29" s="9">
        <f t="shared" si="4"/>
        <v>13.26509360887097</v>
      </c>
    </row>
    <row r="30" spans="1:34" x14ac:dyDescent="0.25">
      <c r="A30" s="29" t="s">
        <v>117</v>
      </c>
      <c r="B30" s="28">
        <v>2113825</v>
      </c>
      <c r="C30" s="22">
        <f t="shared" si="0"/>
        <v>2219516.25</v>
      </c>
      <c r="D30" s="22">
        <v>25150</v>
      </c>
      <c r="E30" s="22">
        <v>0</v>
      </c>
      <c r="F30" s="20">
        <f t="shared" si="13"/>
        <v>-82122.101249999992</v>
      </c>
      <c r="G30" s="20">
        <v>0</v>
      </c>
      <c r="H30" s="20">
        <v>0</v>
      </c>
      <c r="I30" s="20">
        <v>0</v>
      </c>
      <c r="J30" s="9">
        <v>240572</v>
      </c>
      <c r="K30" s="9">
        <f t="shared" si="15"/>
        <v>12000</v>
      </c>
      <c r="L30" s="9">
        <v>0</v>
      </c>
      <c r="M30" s="9">
        <v>0</v>
      </c>
      <c r="N30" s="9">
        <f t="shared" si="16"/>
        <v>77500</v>
      </c>
      <c r="O30" s="9">
        <v>0</v>
      </c>
      <c r="P30" s="9">
        <v>0</v>
      </c>
      <c r="Q30" s="9">
        <v>0</v>
      </c>
      <c r="R30" s="16">
        <v>0</v>
      </c>
      <c r="S30" s="26">
        <v>15500</v>
      </c>
      <c r="T30" s="33">
        <v>0</v>
      </c>
      <c r="U30" s="33">
        <v>0</v>
      </c>
      <c r="V30" s="33">
        <v>-93</v>
      </c>
      <c r="W30" s="33">
        <v>0</v>
      </c>
      <c r="X30" s="25">
        <v>0</v>
      </c>
      <c r="Y30" s="16">
        <v>15.7</v>
      </c>
      <c r="Z30" s="20">
        <f t="shared" si="1"/>
        <v>-1460.1</v>
      </c>
      <c r="AA30" s="21">
        <v>3100</v>
      </c>
      <c r="AB30" s="21">
        <f t="shared" si="14"/>
        <v>93</v>
      </c>
      <c r="AC30" s="33">
        <v>0</v>
      </c>
      <c r="AD30" s="27">
        <v>80</v>
      </c>
      <c r="AE30" s="25">
        <f t="shared" si="2"/>
        <v>255440</v>
      </c>
      <c r="AF30" s="19">
        <f t="shared" si="7"/>
        <v>2746596.0487500001</v>
      </c>
      <c r="AG30" s="9">
        <f t="shared" si="3"/>
        <v>177.19974508064516</v>
      </c>
      <c r="AH30" s="9">
        <f t="shared" si="4"/>
        <v>14.766645423387097</v>
      </c>
    </row>
    <row r="31" spans="1:34" x14ac:dyDescent="0.25">
      <c r="A31" s="29" t="s">
        <v>118</v>
      </c>
      <c r="B31" s="28">
        <v>2113825</v>
      </c>
      <c r="C31" s="22">
        <f t="shared" si="0"/>
        <v>2219516.25</v>
      </c>
      <c r="D31" s="22">
        <v>25150</v>
      </c>
      <c r="E31" s="22">
        <v>0</v>
      </c>
      <c r="F31" s="20">
        <f t="shared" si="13"/>
        <v>-82122.101249999992</v>
      </c>
      <c r="G31" s="20">
        <v>0</v>
      </c>
      <c r="H31" s="20">
        <v>0</v>
      </c>
      <c r="I31" s="20">
        <v>0</v>
      </c>
      <c r="J31" s="9">
        <v>240572</v>
      </c>
      <c r="K31" s="9">
        <f t="shared" si="15"/>
        <v>12000</v>
      </c>
      <c r="L31" s="9">
        <v>0</v>
      </c>
      <c r="M31" s="9">
        <v>0</v>
      </c>
      <c r="N31" s="9">
        <f t="shared" si="16"/>
        <v>77500</v>
      </c>
      <c r="O31" s="9">
        <v>0</v>
      </c>
      <c r="P31" s="9">
        <v>0</v>
      </c>
      <c r="Q31" s="9">
        <v>0</v>
      </c>
      <c r="R31" s="16">
        <v>0</v>
      </c>
      <c r="S31" s="26">
        <v>15500</v>
      </c>
      <c r="T31" s="33">
        <f t="shared" si="6"/>
        <v>-465</v>
      </c>
      <c r="U31" s="33">
        <v>0</v>
      </c>
      <c r="V31" s="33">
        <v>-93</v>
      </c>
      <c r="W31" s="33">
        <v>0</v>
      </c>
      <c r="X31" s="25">
        <v>0</v>
      </c>
      <c r="Y31" s="16">
        <v>15.7</v>
      </c>
      <c r="Z31" s="20">
        <f t="shared" si="1"/>
        <v>-8760.6</v>
      </c>
      <c r="AA31" s="21">
        <v>3100</v>
      </c>
      <c r="AB31" s="21">
        <f t="shared" si="14"/>
        <v>93</v>
      </c>
      <c r="AC31" s="33">
        <v>0</v>
      </c>
      <c r="AD31" s="27">
        <v>80</v>
      </c>
      <c r="AE31" s="25">
        <f t="shared" si="2"/>
        <v>255440</v>
      </c>
      <c r="AF31" s="19">
        <f t="shared" si="7"/>
        <v>2739295.5487500001</v>
      </c>
      <c r="AG31" s="9">
        <f t="shared" si="3"/>
        <v>176.72874508064515</v>
      </c>
      <c r="AH31" s="9">
        <f t="shared" si="4"/>
        <v>14.727395423387096</v>
      </c>
    </row>
    <row r="32" spans="1:34" x14ac:dyDescent="0.25">
      <c r="A32" s="29" t="s">
        <v>119</v>
      </c>
      <c r="B32" s="28">
        <v>2113825</v>
      </c>
      <c r="C32" s="22">
        <f t="shared" si="0"/>
        <v>2219516.25</v>
      </c>
      <c r="D32" s="22">
        <v>25150</v>
      </c>
      <c r="E32" s="22">
        <v>0</v>
      </c>
      <c r="F32" s="20">
        <f t="shared" si="13"/>
        <v>-82122.101249999992</v>
      </c>
      <c r="G32" s="20">
        <v>0</v>
      </c>
      <c r="H32" s="20">
        <v>0</v>
      </c>
      <c r="I32" s="20">
        <f t="shared" si="8"/>
        <v>-155366.13750000001</v>
      </c>
      <c r="J32" s="9">
        <v>240572</v>
      </c>
      <c r="K32" s="9">
        <f t="shared" si="15"/>
        <v>12000</v>
      </c>
      <c r="L32" s="9">
        <v>0</v>
      </c>
      <c r="M32" s="9">
        <v>0</v>
      </c>
      <c r="N32" s="9">
        <f t="shared" si="16"/>
        <v>77500</v>
      </c>
      <c r="O32" s="9">
        <v>0</v>
      </c>
      <c r="P32" s="9">
        <v>0</v>
      </c>
      <c r="Q32" s="9">
        <v>0</v>
      </c>
      <c r="R32" s="16">
        <v>0</v>
      </c>
      <c r="S32" s="26">
        <v>15500</v>
      </c>
      <c r="T32" s="33">
        <v>0</v>
      </c>
      <c r="U32" s="33">
        <f t="shared" si="9"/>
        <v>-775</v>
      </c>
      <c r="V32" s="33">
        <v>-93</v>
      </c>
      <c r="W32" s="33">
        <v>0</v>
      </c>
      <c r="X32" s="25">
        <v>0</v>
      </c>
      <c r="Y32" s="16">
        <v>15.7</v>
      </c>
      <c r="Z32" s="20">
        <f t="shared" si="1"/>
        <v>-13627.599999999999</v>
      </c>
      <c r="AA32" s="21">
        <v>3100</v>
      </c>
      <c r="AB32" s="21">
        <f t="shared" si="14"/>
        <v>93</v>
      </c>
      <c r="AC32" s="33">
        <v>0</v>
      </c>
      <c r="AD32" s="27">
        <v>80</v>
      </c>
      <c r="AE32" s="25">
        <f t="shared" si="2"/>
        <v>255440</v>
      </c>
      <c r="AF32" s="19">
        <f t="shared" si="7"/>
        <v>2579062.4112500004</v>
      </c>
      <c r="AG32" s="9">
        <f t="shared" si="3"/>
        <v>166.39112330645165</v>
      </c>
      <c r="AH32" s="9">
        <f t="shared" si="4"/>
        <v>13.865926942204304</v>
      </c>
    </row>
    <row r="33" spans="1:34" x14ac:dyDescent="0.25">
      <c r="A33" s="29" t="s">
        <v>139</v>
      </c>
      <c r="B33" s="28">
        <v>2113825</v>
      </c>
      <c r="C33" s="22">
        <f t="shared" si="0"/>
        <v>2219516.25</v>
      </c>
      <c r="D33" s="22">
        <v>25150</v>
      </c>
      <c r="E33" s="22">
        <v>0</v>
      </c>
      <c r="F33" s="20">
        <f t="shared" si="13"/>
        <v>-82122.101249999992</v>
      </c>
      <c r="G33" s="20">
        <v>0</v>
      </c>
      <c r="H33" s="20">
        <v>0</v>
      </c>
      <c r="I33" s="20">
        <v>0</v>
      </c>
      <c r="J33" s="9">
        <v>240572</v>
      </c>
      <c r="K33" s="9">
        <f t="shared" si="15"/>
        <v>12000</v>
      </c>
      <c r="L33" s="9">
        <v>0</v>
      </c>
      <c r="M33" s="9">
        <v>0</v>
      </c>
      <c r="N33" s="9">
        <v>0</v>
      </c>
      <c r="O33" s="9">
        <f>15028*50/10</f>
        <v>75140</v>
      </c>
      <c r="P33" s="9">
        <v>0</v>
      </c>
      <c r="Q33" s="9">
        <v>0</v>
      </c>
      <c r="R33" s="16">
        <v>0</v>
      </c>
      <c r="S33" s="26">
        <v>15028</v>
      </c>
      <c r="T33" s="33">
        <v>0</v>
      </c>
      <c r="U33" s="33">
        <v>0</v>
      </c>
      <c r="V33" s="33">
        <v>-90.18</v>
      </c>
      <c r="W33" s="33">
        <v>0</v>
      </c>
      <c r="X33" s="25">
        <v>0</v>
      </c>
      <c r="Y33" s="16">
        <v>15.7</v>
      </c>
      <c r="Z33" s="20">
        <f t="shared" si="1"/>
        <v>-1415.826</v>
      </c>
      <c r="AA33" s="21">
        <v>3006</v>
      </c>
      <c r="AB33" s="21">
        <f>3006*0.03</f>
        <v>90.179999999999993</v>
      </c>
      <c r="AC33" s="33">
        <v>0</v>
      </c>
      <c r="AD33" s="27">
        <v>0</v>
      </c>
      <c r="AE33" s="25">
        <f t="shared" si="2"/>
        <v>0</v>
      </c>
      <c r="AF33" s="19">
        <f t="shared" si="7"/>
        <v>2488840.3227500003</v>
      </c>
      <c r="AG33" s="9">
        <f t="shared" si="3"/>
        <v>160.57034340322582</v>
      </c>
      <c r="AH33" s="9">
        <f t="shared" si="4"/>
        <v>13.380861950268818</v>
      </c>
    </row>
    <row r="34" spans="1:34" x14ac:dyDescent="0.25">
      <c r="A34" s="29" t="s">
        <v>140</v>
      </c>
      <c r="B34" s="28">
        <v>2113825</v>
      </c>
      <c r="C34" s="22">
        <f t="shared" si="0"/>
        <v>2219516.25</v>
      </c>
      <c r="D34" s="22">
        <v>25150</v>
      </c>
      <c r="E34" s="22">
        <v>0</v>
      </c>
      <c r="F34" s="20">
        <f t="shared" si="13"/>
        <v>-82122.101249999992</v>
      </c>
      <c r="G34" s="20">
        <v>0</v>
      </c>
      <c r="H34" s="20">
        <v>0</v>
      </c>
      <c r="I34" s="20">
        <v>0</v>
      </c>
      <c r="J34" s="9">
        <v>240572</v>
      </c>
      <c r="K34" s="9">
        <f t="shared" si="15"/>
        <v>12000</v>
      </c>
      <c r="L34" s="9">
        <v>0</v>
      </c>
      <c r="M34" s="9">
        <v>0</v>
      </c>
      <c r="N34" s="9">
        <v>0</v>
      </c>
      <c r="O34" s="9">
        <f t="shared" ref="O34:O41" si="17">15028*50/10</f>
        <v>75140</v>
      </c>
      <c r="P34" s="9">
        <v>0</v>
      </c>
      <c r="Q34" s="9">
        <v>0</v>
      </c>
      <c r="R34" s="16">
        <v>0</v>
      </c>
      <c r="S34" s="26">
        <v>15028</v>
      </c>
      <c r="T34" s="33">
        <f t="shared" si="6"/>
        <v>-450.84</v>
      </c>
      <c r="U34" s="33">
        <v>0</v>
      </c>
      <c r="V34" s="33">
        <v>-90.18</v>
      </c>
      <c r="W34" s="33">
        <v>0</v>
      </c>
      <c r="X34" s="25">
        <v>0</v>
      </c>
      <c r="Y34" s="16">
        <v>15.7</v>
      </c>
      <c r="Z34" s="20">
        <f t="shared" si="1"/>
        <v>-8494.0139999999992</v>
      </c>
      <c r="AA34" s="21">
        <v>3006</v>
      </c>
      <c r="AB34" s="21">
        <f t="shared" ref="AB34:AB41" si="18">3006*0.03</f>
        <v>90.179999999999993</v>
      </c>
      <c r="AC34" s="33">
        <v>0</v>
      </c>
      <c r="AD34" s="27">
        <v>0</v>
      </c>
      <c r="AE34" s="25">
        <f t="shared" si="2"/>
        <v>0</v>
      </c>
      <c r="AF34" s="19">
        <f t="shared" si="7"/>
        <v>2481762.1347500002</v>
      </c>
      <c r="AG34" s="9">
        <f t="shared" si="3"/>
        <v>160.11368611290325</v>
      </c>
      <c r="AH34" s="9">
        <f t="shared" si="4"/>
        <v>13.34280717607527</v>
      </c>
    </row>
    <row r="35" spans="1:34" x14ac:dyDescent="0.25">
      <c r="A35" s="29" t="s">
        <v>141</v>
      </c>
      <c r="B35" s="28">
        <v>2113825</v>
      </c>
      <c r="C35" s="22">
        <f t="shared" si="0"/>
        <v>2219516.25</v>
      </c>
      <c r="D35" s="22">
        <v>25150</v>
      </c>
      <c r="E35" s="22">
        <v>0</v>
      </c>
      <c r="F35" s="20">
        <f t="shared" si="13"/>
        <v>-82122.101249999992</v>
      </c>
      <c r="G35" s="20">
        <v>0</v>
      </c>
      <c r="H35" s="20">
        <v>0</v>
      </c>
      <c r="I35" s="20">
        <f t="shared" si="8"/>
        <v>-155366.13750000001</v>
      </c>
      <c r="J35" s="9">
        <v>240572</v>
      </c>
      <c r="K35" s="9">
        <f t="shared" si="15"/>
        <v>12000</v>
      </c>
      <c r="L35" s="9">
        <v>0</v>
      </c>
      <c r="M35" s="9">
        <v>0</v>
      </c>
      <c r="N35" s="9">
        <v>0</v>
      </c>
      <c r="O35" s="9">
        <f t="shared" si="17"/>
        <v>75140</v>
      </c>
      <c r="P35" s="9">
        <v>0</v>
      </c>
      <c r="Q35" s="9">
        <v>0</v>
      </c>
      <c r="R35" s="16">
        <v>0</v>
      </c>
      <c r="S35" s="26">
        <v>15028</v>
      </c>
      <c r="T35" s="33">
        <v>0</v>
      </c>
      <c r="U35" s="33">
        <f>-(S35*0.05)</f>
        <v>-751.40000000000009</v>
      </c>
      <c r="V35" s="33">
        <v>-90.18</v>
      </c>
      <c r="W35" s="33">
        <v>0</v>
      </c>
      <c r="X35" s="25">
        <v>0</v>
      </c>
      <c r="Y35" s="16">
        <v>15.7</v>
      </c>
      <c r="Z35" s="20">
        <f t="shared" si="1"/>
        <v>-13212.806000000002</v>
      </c>
      <c r="AA35" s="21">
        <v>3006</v>
      </c>
      <c r="AB35" s="21">
        <f t="shared" si="18"/>
        <v>90.179999999999993</v>
      </c>
      <c r="AC35" s="33">
        <v>0</v>
      </c>
      <c r="AD35" s="27">
        <v>0</v>
      </c>
      <c r="AE35" s="25">
        <f t="shared" si="2"/>
        <v>0</v>
      </c>
      <c r="AF35" s="19">
        <f t="shared" si="7"/>
        <v>2321677.2052500006</v>
      </c>
      <c r="AG35" s="9">
        <f t="shared" si="3"/>
        <v>149.78562614516133</v>
      </c>
      <c r="AH35" s="9">
        <f t="shared" si="4"/>
        <v>12.482135512096777</v>
      </c>
    </row>
    <row r="36" spans="1:34" x14ac:dyDescent="0.25">
      <c r="A36" s="29" t="s">
        <v>142</v>
      </c>
      <c r="B36" s="28">
        <v>2113825</v>
      </c>
      <c r="C36" s="22">
        <f t="shared" si="0"/>
        <v>2219516.25</v>
      </c>
      <c r="D36" s="22">
        <v>25150</v>
      </c>
      <c r="E36" s="22">
        <v>0</v>
      </c>
      <c r="F36" s="20">
        <f t="shared" si="13"/>
        <v>-82122.101249999992</v>
      </c>
      <c r="G36" s="20">
        <v>0</v>
      </c>
      <c r="H36" s="20">
        <v>0</v>
      </c>
      <c r="I36" s="20">
        <v>0</v>
      </c>
      <c r="J36" s="9">
        <v>240572</v>
      </c>
      <c r="K36" s="9">
        <f t="shared" si="15"/>
        <v>12000</v>
      </c>
      <c r="L36" s="9">
        <v>0</v>
      </c>
      <c r="M36" s="9">
        <v>0</v>
      </c>
      <c r="N36" s="9">
        <v>0</v>
      </c>
      <c r="O36" s="9">
        <f t="shared" si="17"/>
        <v>75140</v>
      </c>
      <c r="P36" s="9">
        <v>0</v>
      </c>
      <c r="Q36" s="9">
        <v>0</v>
      </c>
      <c r="R36" s="16">
        <v>0</v>
      </c>
      <c r="S36" s="26">
        <v>15028</v>
      </c>
      <c r="T36" s="33">
        <v>0</v>
      </c>
      <c r="U36" s="33">
        <v>0</v>
      </c>
      <c r="V36" s="33">
        <v>-90.18</v>
      </c>
      <c r="W36" s="33">
        <v>0</v>
      </c>
      <c r="X36" s="25">
        <v>0</v>
      </c>
      <c r="Y36" s="16">
        <v>15.7</v>
      </c>
      <c r="Z36" s="20">
        <f t="shared" si="1"/>
        <v>-1415.826</v>
      </c>
      <c r="AA36" s="21">
        <v>3006</v>
      </c>
      <c r="AB36" s="21">
        <f t="shared" si="18"/>
        <v>90.179999999999993</v>
      </c>
      <c r="AC36" s="33">
        <v>0</v>
      </c>
      <c r="AD36" s="27">
        <v>45</v>
      </c>
      <c r="AE36" s="25">
        <f t="shared" si="2"/>
        <v>139328.1</v>
      </c>
      <c r="AF36" s="19">
        <f t="shared" si="7"/>
        <v>2628168.4227500004</v>
      </c>
      <c r="AG36" s="9">
        <f t="shared" si="3"/>
        <v>169.55925308064519</v>
      </c>
      <c r="AH36" s="9">
        <f t="shared" si="4"/>
        <v>14.129937756720432</v>
      </c>
    </row>
    <row r="37" spans="1:34" x14ac:dyDescent="0.25">
      <c r="A37" s="29" t="s">
        <v>143</v>
      </c>
      <c r="B37" s="28">
        <v>2113825</v>
      </c>
      <c r="C37" s="22">
        <f t="shared" si="0"/>
        <v>2219516.25</v>
      </c>
      <c r="D37" s="22">
        <v>25150</v>
      </c>
      <c r="E37" s="22">
        <v>0</v>
      </c>
      <c r="F37" s="20">
        <f t="shared" si="13"/>
        <v>-82122.101249999992</v>
      </c>
      <c r="G37" s="20">
        <v>0</v>
      </c>
      <c r="H37" s="20">
        <v>0</v>
      </c>
      <c r="I37" s="20">
        <v>0</v>
      </c>
      <c r="J37" s="9">
        <v>240572</v>
      </c>
      <c r="K37" s="9">
        <f t="shared" si="15"/>
        <v>12000</v>
      </c>
      <c r="L37" s="9">
        <v>0</v>
      </c>
      <c r="M37" s="9">
        <v>0</v>
      </c>
      <c r="N37" s="9">
        <v>0</v>
      </c>
      <c r="O37" s="9">
        <f t="shared" si="17"/>
        <v>75140</v>
      </c>
      <c r="P37" s="9">
        <v>0</v>
      </c>
      <c r="Q37" s="9">
        <v>0</v>
      </c>
      <c r="R37" s="16">
        <v>0</v>
      </c>
      <c r="S37" s="26">
        <v>15028</v>
      </c>
      <c r="T37" s="33">
        <f t="shared" si="6"/>
        <v>-450.84</v>
      </c>
      <c r="U37" s="33">
        <v>0</v>
      </c>
      <c r="V37" s="33">
        <v>-90.18</v>
      </c>
      <c r="W37" s="33">
        <v>0</v>
      </c>
      <c r="X37" s="25">
        <v>0</v>
      </c>
      <c r="Y37" s="16">
        <v>15.7</v>
      </c>
      <c r="Z37" s="20">
        <f t="shared" si="1"/>
        <v>-8494.0139999999992</v>
      </c>
      <c r="AA37" s="21">
        <v>3006</v>
      </c>
      <c r="AB37" s="21">
        <f t="shared" si="18"/>
        <v>90.179999999999993</v>
      </c>
      <c r="AC37" s="33">
        <v>0</v>
      </c>
      <c r="AD37" s="27">
        <v>45</v>
      </c>
      <c r="AE37" s="25">
        <f t="shared" si="2"/>
        <v>139328.1</v>
      </c>
      <c r="AF37" s="19">
        <f t="shared" si="7"/>
        <v>2621090.2347500003</v>
      </c>
      <c r="AG37" s="9">
        <f t="shared" si="3"/>
        <v>169.1025957903226</v>
      </c>
      <c r="AH37" s="9">
        <f t="shared" si="4"/>
        <v>14.091882982526883</v>
      </c>
    </row>
    <row r="38" spans="1:34" x14ac:dyDescent="0.25">
      <c r="A38" s="29" t="s">
        <v>144</v>
      </c>
      <c r="B38" s="28">
        <v>2113825</v>
      </c>
      <c r="C38" s="22">
        <f t="shared" si="0"/>
        <v>2219516.25</v>
      </c>
      <c r="D38" s="22">
        <v>25150</v>
      </c>
      <c r="E38" s="22">
        <v>0</v>
      </c>
      <c r="F38" s="20">
        <f t="shared" si="13"/>
        <v>-82122.101249999992</v>
      </c>
      <c r="G38" s="20">
        <v>0</v>
      </c>
      <c r="H38" s="20">
        <v>0</v>
      </c>
      <c r="I38" s="20">
        <f t="shared" si="8"/>
        <v>-155366.13750000001</v>
      </c>
      <c r="J38" s="9">
        <v>240572</v>
      </c>
      <c r="K38" s="9">
        <f t="shared" si="15"/>
        <v>12000</v>
      </c>
      <c r="L38" s="9">
        <v>0</v>
      </c>
      <c r="M38" s="9">
        <v>0</v>
      </c>
      <c r="N38" s="9">
        <v>0</v>
      </c>
      <c r="O38" s="9">
        <f t="shared" si="17"/>
        <v>75140</v>
      </c>
      <c r="P38" s="9">
        <v>0</v>
      </c>
      <c r="Q38" s="9">
        <v>0</v>
      </c>
      <c r="R38" s="16">
        <v>0</v>
      </c>
      <c r="S38" s="26">
        <v>15028</v>
      </c>
      <c r="T38" s="33">
        <v>0</v>
      </c>
      <c r="U38" s="33">
        <f t="shared" ref="U38:U41" si="19">-(S38*0.05)</f>
        <v>-751.40000000000009</v>
      </c>
      <c r="V38" s="33">
        <v>-90.18</v>
      </c>
      <c r="W38" s="33">
        <v>0</v>
      </c>
      <c r="X38" s="25">
        <v>0</v>
      </c>
      <c r="Y38" s="16">
        <v>15.7</v>
      </c>
      <c r="Z38" s="20">
        <f t="shared" si="1"/>
        <v>-13212.806000000002</v>
      </c>
      <c r="AA38" s="21">
        <v>3006</v>
      </c>
      <c r="AB38" s="21">
        <f t="shared" si="18"/>
        <v>90.179999999999993</v>
      </c>
      <c r="AC38" s="33">
        <v>0</v>
      </c>
      <c r="AD38" s="27">
        <v>45</v>
      </c>
      <c r="AE38" s="25">
        <f t="shared" si="2"/>
        <v>139328.1</v>
      </c>
      <c r="AF38" s="19">
        <f t="shared" si="7"/>
        <v>2461005.3052500007</v>
      </c>
      <c r="AG38" s="9">
        <f t="shared" si="3"/>
        <v>158.7745358225807</v>
      </c>
      <c r="AH38" s="9">
        <f t="shared" si="4"/>
        <v>13.231211318548391</v>
      </c>
    </row>
    <row r="39" spans="1:34" x14ac:dyDescent="0.25">
      <c r="A39" s="29" t="s">
        <v>145</v>
      </c>
      <c r="B39" s="28">
        <v>2113825</v>
      </c>
      <c r="C39" s="22">
        <f t="shared" si="0"/>
        <v>2219516.25</v>
      </c>
      <c r="D39" s="22">
        <v>25150</v>
      </c>
      <c r="E39" s="22">
        <v>0</v>
      </c>
      <c r="F39" s="20">
        <f t="shared" si="13"/>
        <v>-82122.101249999992</v>
      </c>
      <c r="G39" s="20">
        <v>0</v>
      </c>
      <c r="H39" s="20">
        <v>0</v>
      </c>
      <c r="I39" s="20">
        <v>0</v>
      </c>
      <c r="J39" s="9">
        <v>240572</v>
      </c>
      <c r="K39" s="9">
        <f t="shared" si="15"/>
        <v>12000</v>
      </c>
      <c r="L39" s="9">
        <v>0</v>
      </c>
      <c r="M39" s="9">
        <v>0</v>
      </c>
      <c r="N39" s="9">
        <v>0</v>
      </c>
      <c r="O39" s="9">
        <f t="shared" si="17"/>
        <v>75140</v>
      </c>
      <c r="P39" s="9">
        <v>0</v>
      </c>
      <c r="Q39" s="9">
        <v>0</v>
      </c>
      <c r="R39" s="16">
        <v>0</v>
      </c>
      <c r="S39" s="26">
        <v>15028</v>
      </c>
      <c r="T39" s="33">
        <v>0</v>
      </c>
      <c r="U39" s="33">
        <v>0</v>
      </c>
      <c r="V39" s="33">
        <v>-90.18</v>
      </c>
      <c r="W39" s="33">
        <v>0</v>
      </c>
      <c r="X39" s="25">
        <v>0</v>
      </c>
      <c r="Y39" s="16">
        <v>15.7</v>
      </c>
      <c r="Z39" s="20">
        <f t="shared" si="1"/>
        <v>-1415.826</v>
      </c>
      <c r="AA39" s="21">
        <v>3006</v>
      </c>
      <c r="AB39" s="21">
        <f t="shared" si="18"/>
        <v>90.179999999999993</v>
      </c>
      <c r="AC39" s="33">
        <v>0</v>
      </c>
      <c r="AD39" s="27">
        <v>80</v>
      </c>
      <c r="AE39" s="25">
        <f t="shared" si="2"/>
        <v>247694.4</v>
      </c>
      <c r="AF39" s="19">
        <f t="shared" si="7"/>
        <v>2736534.7227500002</v>
      </c>
      <c r="AG39" s="9">
        <f t="shared" si="3"/>
        <v>176.55062727419357</v>
      </c>
      <c r="AH39" s="9">
        <f t="shared" si="4"/>
        <v>14.712552272849464</v>
      </c>
    </row>
    <row r="40" spans="1:34" x14ac:dyDescent="0.25">
      <c r="A40" s="29" t="s">
        <v>146</v>
      </c>
      <c r="B40" s="28">
        <v>2113825</v>
      </c>
      <c r="C40" s="22">
        <f t="shared" si="0"/>
        <v>2219516.25</v>
      </c>
      <c r="D40" s="22">
        <v>25150</v>
      </c>
      <c r="E40" s="22">
        <v>0</v>
      </c>
      <c r="F40" s="20">
        <f t="shared" si="13"/>
        <v>-82122.101249999992</v>
      </c>
      <c r="G40" s="20">
        <v>0</v>
      </c>
      <c r="H40" s="20">
        <v>0</v>
      </c>
      <c r="I40" s="20">
        <v>0</v>
      </c>
      <c r="J40" s="9">
        <v>240572</v>
      </c>
      <c r="K40" s="9">
        <f t="shared" si="15"/>
        <v>12000</v>
      </c>
      <c r="L40" s="9">
        <v>0</v>
      </c>
      <c r="M40" s="9">
        <v>0</v>
      </c>
      <c r="N40" s="9">
        <v>0</v>
      </c>
      <c r="O40" s="9">
        <f t="shared" si="17"/>
        <v>75140</v>
      </c>
      <c r="P40" s="9">
        <v>0</v>
      </c>
      <c r="Q40" s="9">
        <v>0</v>
      </c>
      <c r="R40" s="16">
        <v>0</v>
      </c>
      <c r="S40" s="26">
        <v>15028</v>
      </c>
      <c r="T40" s="33">
        <f t="shared" si="6"/>
        <v>-450.84</v>
      </c>
      <c r="U40" s="33">
        <v>0</v>
      </c>
      <c r="V40" s="33">
        <v>-90.18</v>
      </c>
      <c r="W40" s="33">
        <v>0</v>
      </c>
      <c r="X40" s="25">
        <v>0</v>
      </c>
      <c r="Y40" s="16">
        <v>15.7</v>
      </c>
      <c r="Z40" s="20">
        <f t="shared" si="1"/>
        <v>-8494.0139999999992</v>
      </c>
      <c r="AA40" s="21">
        <v>3006</v>
      </c>
      <c r="AB40" s="21">
        <f t="shared" si="18"/>
        <v>90.179999999999993</v>
      </c>
      <c r="AC40" s="33">
        <v>0</v>
      </c>
      <c r="AD40" s="27">
        <v>80</v>
      </c>
      <c r="AE40" s="25">
        <f t="shared" si="2"/>
        <v>247694.4</v>
      </c>
      <c r="AF40" s="19">
        <f t="shared" si="7"/>
        <v>2729456.5347500001</v>
      </c>
      <c r="AG40" s="9">
        <f t="shared" si="3"/>
        <v>176.09396998387098</v>
      </c>
      <c r="AH40" s="9">
        <f t="shared" si="4"/>
        <v>14.674497498655915</v>
      </c>
    </row>
    <row r="41" spans="1:34" x14ac:dyDescent="0.25">
      <c r="A41" s="29" t="s">
        <v>147</v>
      </c>
      <c r="B41" s="28">
        <v>2113825</v>
      </c>
      <c r="C41" s="22">
        <f t="shared" si="0"/>
        <v>2219516.25</v>
      </c>
      <c r="D41" s="22">
        <v>25150</v>
      </c>
      <c r="E41" s="22">
        <v>0</v>
      </c>
      <c r="F41" s="20">
        <f t="shared" si="13"/>
        <v>-82122.101249999992</v>
      </c>
      <c r="G41" s="20">
        <v>0</v>
      </c>
      <c r="H41" s="20">
        <v>0</v>
      </c>
      <c r="I41" s="20">
        <f t="shared" si="8"/>
        <v>-155366.13750000001</v>
      </c>
      <c r="J41" s="9">
        <v>240572</v>
      </c>
      <c r="K41" s="9">
        <f t="shared" si="15"/>
        <v>12000</v>
      </c>
      <c r="L41" s="9">
        <v>0</v>
      </c>
      <c r="M41" s="9">
        <v>0</v>
      </c>
      <c r="N41" s="9">
        <v>0</v>
      </c>
      <c r="O41" s="9">
        <f t="shared" si="17"/>
        <v>75140</v>
      </c>
      <c r="P41" s="9">
        <v>0</v>
      </c>
      <c r="Q41" s="9">
        <v>0</v>
      </c>
      <c r="R41" s="16">
        <v>0</v>
      </c>
      <c r="S41" s="26">
        <v>15028</v>
      </c>
      <c r="T41" s="33">
        <v>0</v>
      </c>
      <c r="U41" s="33">
        <f t="shared" si="19"/>
        <v>-751.40000000000009</v>
      </c>
      <c r="V41" s="33">
        <v>-90.18</v>
      </c>
      <c r="W41" s="33">
        <v>0</v>
      </c>
      <c r="X41" s="25">
        <v>0</v>
      </c>
      <c r="Y41" s="16">
        <v>15.7</v>
      </c>
      <c r="Z41" s="20">
        <f t="shared" si="1"/>
        <v>-13212.806000000002</v>
      </c>
      <c r="AA41" s="21">
        <v>3006</v>
      </c>
      <c r="AB41" s="21">
        <f t="shared" si="18"/>
        <v>90.179999999999993</v>
      </c>
      <c r="AC41" s="33">
        <v>0</v>
      </c>
      <c r="AD41" s="27">
        <v>80</v>
      </c>
      <c r="AE41" s="25">
        <f t="shared" si="2"/>
        <v>247694.4</v>
      </c>
      <c r="AF41" s="19">
        <f t="shared" si="7"/>
        <v>2569371.6052500005</v>
      </c>
      <c r="AG41" s="9">
        <f t="shared" si="3"/>
        <v>165.76591001612906</v>
      </c>
      <c r="AH41" s="9">
        <f t="shared" si="4"/>
        <v>13.813825834677422</v>
      </c>
    </row>
    <row r="42" spans="1:34" x14ac:dyDescent="0.25">
      <c r="A42" s="29" t="s">
        <v>120</v>
      </c>
      <c r="B42" s="28">
        <v>2113825</v>
      </c>
      <c r="C42" s="22">
        <f t="shared" si="0"/>
        <v>2219516.25</v>
      </c>
      <c r="D42" s="22">
        <v>25150</v>
      </c>
      <c r="E42" s="22">
        <v>0</v>
      </c>
      <c r="F42" s="20">
        <v>0</v>
      </c>
      <c r="G42" s="20">
        <v>0</v>
      </c>
      <c r="H42" s="20">
        <f>-(C42*0.11)</f>
        <v>-244146.78750000001</v>
      </c>
      <c r="I42" s="20">
        <v>0</v>
      </c>
      <c r="J42" s="9">
        <v>170148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16">
        <v>0</v>
      </c>
      <c r="S42" s="26">
        <v>15500</v>
      </c>
      <c r="T42" s="33">
        <v>0</v>
      </c>
      <c r="U42" s="33">
        <v>0</v>
      </c>
      <c r="V42" s="33">
        <v>0</v>
      </c>
      <c r="W42" s="33">
        <v>775</v>
      </c>
      <c r="X42" s="25">
        <v>0</v>
      </c>
      <c r="Y42" s="16">
        <v>15.7</v>
      </c>
      <c r="Z42" s="20">
        <f t="shared" si="1"/>
        <v>12167.5</v>
      </c>
      <c r="AA42" s="21">
        <v>3100</v>
      </c>
      <c r="AB42" s="21">
        <v>0</v>
      </c>
      <c r="AC42" s="33">
        <f>-(AA42*0.25)</f>
        <v>-775</v>
      </c>
      <c r="AD42" s="27">
        <v>0</v>
      </c>
      <c r="AE42" s="25">
        <f t="shared" si="2"/>
        <v>0</v>
      </c>
      <c r="AF42" s="19">
        <f t="shared" si="7"/>
        <v>2182834.9624999999</v>
      </c>
      <c r="AG42" s="9">
        <f t="shared" si="3"/>
        <v>140.82806209677418</v>
      </c>
      <c r="AH42" s="9">
        <f t="shared" si="4"/>
        <v>11.735671841397847</v>
      </c>
    </row>
    <row r="43" spans="1:34" x14ac:dyDescent="0.25">
      <c r="A43" s="29" t="s">
        <v>121</v>
      </c>
      <c r="B43" s="28">
        <v>2113825</v>
      </c>
      <c r="C43" s="22">
        <f t="shared" si="0"/>
        <v>2219516.25</v>
      </c>
      <c r="D43" s="22">
        <v>25150</v>
      </c>
      <c r="E43" s="22">
        <v>0</v>
      </c>
      <c r="F43" s="20">
        <v>0</v>
      </c>
      <c r="G43" s="20">
        <v>0</v>
      </c>
      <c r="H43" s="20">
        <f t="shared" ref="H43:H59" si="20">-(C43*0.11)</f>
        <v>-244146.78750000001</v>
      </c>
      <c r="I43" s="20">
        <v>0</v>
      </c>
      <c r="J43" s="9">
        <v>170148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16">
        <v>0</v>
      </c>
      <c r="S43" s="26">
        <v>15500</v>
      </c>
      <c r="T43" s="33">
        <f t="shared" si="6"/>
        <v>-465</v>
      </c>
      <c r="U43" s="33">
        <v>0</v>
      </c>
      <c r="V43" s="33">
        <v>0</v>
      </c>
      <c r="W43" s="33">
        <v>775</v>
      </c>
      <c r="X43" s="25">
        <v>0</v>
      </c>
      <c r="Y43" s="16">
        <v>15.7</v>
      </c>
      <c r="Z43" s="20">
        <f t="shared" si="1"/>
        <v>4867</v>
      </c>
      <c r="AA43" s="21">
        <v>3100</v>
      </c>
      <c r="AB43" s="21">
        <v>0</v>
      </c>
      <c r="AC43" s="33">
        <f t="shared" ref="AC43:AC50" si="21">-(AA43*0.25)</f>
        <v>-775</v>
      </c>
      <c r="AD43" s="27">
        <v>0</v>
      </c>
      <c r="AE43" s="25">
        <f t="shared" si="2"/>
        <v>0</v>
      </c>
      <c r="AF43" s="19">
        <f t="shared" si="7"/>
        <v>2175534.4624999999</v>
      </c>
      <c r="AG43" s="9">
        <f t="shared" si="3"/>
        <v>140.3570620967742</v>
      </c>
      <c r="AH43" s="9">
        <f t="shared" si="4"/>
        <v>11.69642184139785</v>
      </c>
    </row>
    <row r="44" spans="1:34" x14ac:dyDescent="0.25">
      <c r="A44" s="29" t="s">
        <v>122</v>
      </c>
      <c r="B44" s="28">
        <v>2113825</v>
      </c>
      <c r="C44" s="22">
        <f t="shared" si="0"/>
        <v>2219516.25</v>
      </c>
      <c r="D44" s="22">
        <v>25150</v>
      </c>
      <c r="E44" s="22">
        <v>0</v>
      </c>
      <c r="F44" s="20">
        <v>0</v>
      </c>
      <c r="G44" s="20">
        <v>0</v>
      </c>
      <c r="H44" s="20">
        <f t="shared" si="20"/>
        <v>-244146.78750000001</v>
      </c>
      <c r="I44" s="20">
        <f t="shared" si="8"/>
        <v>-155366.13750000001</v>
      </c>
      <c r="J44" s="9">
        <v>170148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16">
        <v>0</v>
      </c>
      <c r="S44" s="26">
        <v>15500</v>
      </c>
      <c r="T44" s="33">
        <v>0</v>
      </c>
      <c r="U44" s="33">
        <f t="shared" si="9"/>
        <v>-775</v>
      </c>
      <c r="V44" s="33">
        <v>0</v>
      </c>
      <c r="W44" s="33">
        <v>775</v>
      </c>
      <c r="X44" s="25">
        <v>0</v>
      </c>
      <c r="Y44" s="16">
        <v>15.7</v>
      </c>
      <c r="Z44" s="20">
        <f t="shared" si="1"/>
        <v>0</v>
      </c>
      <c r="AA44" s="21">
        <v>3100</v>
      </c>
      <c r="AB44" s="21">
        <v>0</v>
      </c>
      <c r="AC44" s="33">
        <f t="shared" si="21"/>
        <v>-775</v>
      </c>
      <c r="AD44" s="27">
        <v>0</v>
      </c>
      <c r="AE44" s="25">
        <f t="shared" si="2"/>
        <v>0</v>
      </c>
      <c r="AF44" s="19">
        <f t="shared" si="7"/>
        <v>2015301.325</v>
      </c>
      <c r="AG44" s="9">
        <f t="shared" si="3"/>
        <v>130.01944032258064</v>
      </c>
      <c r="AH44" s="9">
        <f t="shared" si="4"/>
        <v>10.834953360215053</v>
      </c>
    </row>
    <row r="45" spans="1:34" x14ac:dyDescent="0.25">
      <c r="A45" s="29" t="s">
        <v>123</v>
      </c>
      <c r="B45" s="28">
        <v>2113825</v>
      </c>
      <c r="C45" s="22">
        <f t="shared" si="0"/>
        <v>2219516.25</v>
      </c>
      <c r="D45" s="22">
        <v>25150</v>
      </c>
      <c r="E45" s="22">
        <v>0</v>
      </c>
      <c r="F45" s="20">
        <v>0</v>
      </c>
      <c r="G45" s="20">
        <v>0</v>
      </c>
      <c r="H45" s="20">
        <f t="shared" si="20"/>
        <v>-244146.78750000001</v>
      </c>
      <c r="I45" s="20">
        <v>0</v>
      </c>
      <c r="J45" s="9">
        <v>170148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16">
        <v>0</v>
      </c>
      <c r="S45" s="26">
        <v>15500</v>
      </c>
      <c r="T45" s="33">
        <v>0</v>
      </c>
      <c r="U45" s="33">
        <v>0</v>
      </c>
      <c r="V45" s="33">
        <v>0</v>
      </c>
      <c r="W45" s="33">
        <v>775</v>
      </c>
      <c r="X45" s="25">
        <v>0</v>
      </c>
      <c r="Y45" s="16">
        <v>15.7</v>
      </c>
      <c r="Z45" s="20">
        <f t="shared" si="1"/>
        <v>12167.5</v>
      </c>
      <c r="AA45" s="21">
        <v>3100</v>
      </c>
      <c r="AB45" s="21">
        <v>0</v>
      </c>
      <c r="AC45" s="33">
        <f t="shared" si="21"/>
        <v>-775</v>
      </c>
      <c r="AD45" s="27">
        <v>45</v>
      </c>
      <c r="AE45" s="25">
        <f t="shared" si="2"/>
        <v>104625</v>
      </c>
      <c r="AF45" s="19">
        <f t="shared" si="7"/>
        <v>2287459.9624999999</v>
      </c>
      <c r="AG45" s="9">
        <f t="shared" si="3"/>
        <v>147.57806209677418</v>
      </c>
      <c r="AH45" s="9">
        <f t="shared" si="4"/>
        <v>12.298171841397847</v>
      </c>
    </row>
    <row r="46" spans="1:34" x14ac:dyDescent="0.25">
      <c r="A46" s="29" t="s">
        <v>124</v>
      </c>
      <c r="B46" s="28">
        <v>2113825</v>
      </c>
      <c r="C46" s="22">
        <f t="shared" si="0"/>
        <v>2219516.25</v>
      </c>
      <c r="D46" s="22">
        <v>25150</v>
      </c>
      <c r="E46" s="22">
        <v>0</v>
      </c>
      <c r="F46" s="20">
        <v>0</v>
      </c>
      <c r="G46" s="20">
        <v>0</v>
      </c>
      <c r="H46" s="20">
        <f t="shared" si="20"/>
        <v>-244146.78750000001</v>
      </c>
      <c r="I46" s="20">
        <v>0</v>
      </c>
      <c r="J46" s="9">
        <v>170148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16">
        <v>0</v>
      </c>
      <c r="S46" s="26">
        <v>15500</v>
      </c>
      <c r="T46" s="33">
        <f t="shared" si="6"/>
        <v>-465</v>
      </c>
      <c r="U46" s="33">
        <v>0</v>
      </c>
      <c r="V46" s="33">
        <v>0</v>
      </c>
      <c r="W46" s="33">
        <v>775</v>
      </c>
      <c r="X46" s="25">
        <v>0</v>
      </c>
      <c r="Y46" s="16">
        <v>15.7</v>
      </c>
      <c r="Z46" s="20">
        <f t="shared" si="1"/>
        <v>4867</v>
      </c>
      <c r="AA46" s="21">
        <v>3100</v>
      </c>
      <c r="AB46" s="21">
        <v>0</v>
      </c>
      <c r="AC46" s="33">
        <f t="shared" si="21"/>
        <v>-775</v>
      </c>
      <c r="AD46" s="27">
        <v>45</v>
      </c>
      <c r="AE46" s="25">
        <f t="shared" si="2"/>
        <v>104625</v>
      </c>
      <c r="AF46" s="19">
        <f t="shared" si="7"/>
        <v>2280159.4624999999</v>
      </c>
      <c r="AG46" s="9">
        <f t="shared" si="3"/>
        <v>147.1070620967742</v>
      </c>
      <c r="AH46" s="9">
        <f t="shared" si="4"/>
        <v>12.25892184139785</v>
      </c>
    </row>
    <row r="47" spans="1:34" x14ac:dyDescent="0.25">
      <c r="A47" s="29" t="s">
        <v>125</v>
      </c>
      <c r="B47" s="28">
        <v>2113825</v>
      </c>
      <c r="C47" s="22">
        <f t="shared" si="0"/>
        <v>2219516.25</v>
      </c>
      <c r="D47" s="22">
        <v>25150</v>
      </c>
      <c r="E47" s="22">
        <v>0</v>
      </c>
      <c r="F47" s="20">
        <v>0</v>
      </c>
      <c r="G47" s="20">
        <v>0</v>
      </c>
      <c r="H47" s="20">
        <f t="shared" si="20"/>
        <v>-244146.78750000001</v>
      </c>
      <c r="I47" s="20">
        <f t="shared" si="8"/>
        <v>-155366.13750000001</v>
      </c>
      <c r="J47" s="9">
        <v>170148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16">
        <v>0</v>
      </c>
      <c r="S47" s="26">
        <v>15500</v>
      </c>
      <c r="T47" s="33">
        <v>0</v>
      </c>
      <c r="U47" s="33">
        <f t="shared" si="9"/>
        <v>-775</v>
      </c>
      <c r="V47" s="33">
        <v>0</v>
      </c>
      <c r="W47" s="33">
        <v>775</v>
      </c>
      <c r="X47" s="25">
        <v>0</v>
      </c>
      <c r="Y47" s="16">
        <v>15.7</v>
      </c>
      <c r="Z47" s="20">
        <f t="shared" si="1"/>
        <v>0</v>
      </c>
      <c r="AA47" s="21">
        <v>3100</v>
      </c>
      <c r="AB47" s="21">
        <v>0</v>
      </c>
      <c r="AC47" s="33">
        <f t="shared" si="21"/>
        <v>-775</v>
      </c>
      <c r="AD47" s="27">
        <v>45</v>
      </c>
      <c r="AE47" s="25">
        <f t="shared" si="2"/>
        <v>104625</v>
      </c>
      <c r="AF47" s="19">
        <f t="shared" si="7"/>
        <v>2119926.3250000002</v>
      </c>
      <c r="AG47" s="9">
        <f t="shared" si="3"/>
        <v>136.76944032258066</v>
      </c>
      <c r="AH47" s="9">
        <f t="shared" si="4"/>
        <v>11.397453360215055</v>
      </c>
    </row>
    <row r="48" spans="1:34" x14ac:dyDescent="0.25">
      <c r="A48" s="29" t="s">
        <v>126</v>
      </c>
      <c r="B48" s="28">
        <v>2113825</v>
      </c>
      <c r="C48" s="22">
        <f t="shared" si="0"/>
        <v>2219516.25</v>
      </c>
      <c r="D48" s="22">
        <v>25150</v>
      </c>
      <c r="E48" s="22">
        <v>0</v>
      </c>
      <c r="F48" s="20">
        <v>0</v>
      </c>
      <c r="G48" s="20">
        <v>0</v>
      </c>
      <c r="H48" s="20">
        <f t="shared" si="20"/>
        <v>-244146.78750000001</v>
      </c>
      <c r="I48" s="20">
        <v>0</v>
      </c>
      <c r="J48" s="9">
        <v>170148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16">
        <v>0</v>
      </c>
      <c r="S48" s="26">
        <v>15500</v>
      </c>
      <c r="T48" s="33">
        <v>0</v>
      </c>
      <c r="U48" s="33">
        <v>0</v>
      </c>
      <c r="V48" s="33">
        <v>0</v>
      </c>
      <c r="W48" s="33">
        <v>775</v>
      </c>
      <c r="X48" s="25">
        <v>0</v>
      </c>
      <c r="Y48" s="16">
        <v>15.7</v>
      </c>
      <c r="Z48" s="20">
        <f t="shared" si="1"/>
        <v>12167.5</v>
      </c>
      <c r="AA48" s="21">
        <v>3100</v>
      </c>
      <c r="AB48" s="21">
        <v>0</v>
      </c>
      <c r="AC48" s="33">
        <f t="shared" si="21"/>
        <v>-775</v>
      </c>
      <c r="AD48" s="27">
        <v>80</v>
      </c>
      <c r="AE48" s="25">
        <f t="shared" si="2"/>
        <v>186000</v>
      </c>
      <c r="AF48" s="19">
        <f t="shared" si="7"/>
        <v>2368834.9624999999</v>
      </c>
      <c r="AG48" s="9">
        <f t="shared" si="3"/>
        <v>152.82806209677418</v>
      </c>
      <c r="AH48" s="9">
        <f t="shared" si="4"/>
        <v>12.735671841397847</v>
      </c>
    </row>
    <row r="49" spans="1:34" x14ac:dyDescent="0.25">
      <c r="A49" s="29" t="s">
        <v>127</v>
      </c>
      <c r="B49" s="28">
        <v>2113825</v>
      </c>
      <c r="C49" s="22">
        <f t="shared" si="0"/>
        <v>2219516.25</v>
      </c>
      <c r="D49" s="22">
        <v>25150</v>
      </c>
      <c r="E49" s="22">
        <v>0</v>
      </c>
      <c r="F49" s="20">
        <v>0</v>
      </c>
      <c r="G49" s="20">
        <v>0</v>
      </c>
      <c r="H49" s="20">
        <f t="shared" si="20"/>
        <v>-244146.78750000001</v>
      </c>
      <c r="I49" s="20">
        <v>0</v>
      </c>
      <c r="J49" s="9">
        <v>170148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16">
        <v>0</v>
      </c>
      <c r="S49" s="26">
        <v>15500</v>
      </c>
      <c r="T49" s="33">
        <f t="shared" si="6"/>
        <v>-465</v>
      </c>
      <c r="U49" s="33">
        <v>0</v>
      </c>
      <c r="V49" s="33">
        <v>0</v>
      </c>
      <c r="W49" s="33">
        <v>775</v>
      </c>
      <c r="X49" s="25">
        <v>0</v>
      </c>
      <c r="Y49" s="16">
        <v>15.7</v>
      </c>
      <c r="Z49" s="20">
        <f t="shared" si="1"/>
        <v>4867</v>
      </c>
      <c r="AA49" s="21">
        <v>3100</v>
      </c>
      <c r="AB49" s="21">
        <v>0</v>
      </c>
      <c r="AC49" s="33">
        <f t="shared" si="21"/>
        <v>-775</v>
      </c>
      <c r="AD49" s="27">
        <v>80</v>
      </c>
      <c r="AE49" s="25">
        <f t="shared" si="2"/>
        <v>186000</v>
      </c>
      <c r="AF49" s="19">
        <f t="shared" si="7"/>
        <v>2361534.4624999999</v>
      </c>
      <c r="AG49" s="9">
        <f t="shared" si="3"/>
        <v>152.3570620967742</v>
      </c>
      <c r="AH49" s="9">
        <f t="shared" si="4"/>
        <v>12.69642184139785</v>
      </c>
    </row>
    <row r="50" spans="1:34" x14ac:dyDescent="0.25">
      <c r="A50" s="29" t="s">
        <v>128</v>
      </c>
      <c r="B50" s="28">
        <v>2113825</v>
      </c>
      <c r="C50" s="22">
        <f t="shared" si="0"/>
        <v>2219516.25</v>
      </c>
      <c r="D50" s="22">
        <v>25150</v>
      </c>
      <c r="E50" s="22">
        <v>0</v>
      </c>
      <c r="F50" s="20">
        <v>0</v>
      </c>
      <c r="G50" s="20">
        <v>0</v>
      </c>
      <c r="H50" s="20">
        <f t="shared" si="20"/>
        <v>-244146.78750000001</v>
      </c>
      <c r="I50" s="20">
        <f t="shared" si="8"/>
        <v>-155366.13750000001</v>
      </c>
      <c r="J50" s="9">
        <v>170148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16">
        <v>0</v>
      </c>
      <c r="S50" s="26">
        <v>15500</v>
      </c>
      <c r="T50" s="33">
        <v>0</v>
      </c>
      <c r="U50" s="33">
        <f t="shared" si="9"/>
        <v>-775</v>
      </c>
      <c r="V50" s="33">
        <v>0</v>
      </c>
      <c r="W50" s="33">
        <v>775</v>
      </c>
      <c r="X50" s="25">
        <v>0</v>
      </c>
      <c r="Y50" s="16">
        <v>15.7</v>
      </c>
      <c r="Z50" s="20">
        <f t="shared" si="1"/>
        <v>0</v>
      </c>
      <c r="AA50" s="21">
        <v>3100</v>
      </c>
      <c r="AB50" s="21">
        <v>0</v>
      </c>
      <c r="AC50" s="33">
        <f t="shared" si="21"/>
        <v>-775</v>
      </c>
      <c r="AD50" s="27">
        <v>80</v>
      </c>
      <c r="AE50" s="25">
        <f t="shared" si="2"/>
        <v>186000</v>
      </c>
      <c r="AF50" s="19">
        <f t="shared" si="7"/>
        <v>2201301.3250000002</v>
      </c>
      <c r="AG50" s="9">
        <f t="shared" si="3"/>
        <v>142.01944032258066</v>
      </c>
      <c r="AH50" s="9">
        <f t="shared" si="4"/>
        <v>11.834953360215055</v>
      </c>
    </row>
    <row r="51" spans="1:34" x14ac:dyDescent="0.25">
      <c r="A51" s="29" t="s">
        <v>149</v>
      </c>
      <c r="B51" s="28">
        <v>2113825</v>
      </c>
      <c r="C51" s="22">
        <f t="shared" si="0"/>
        <v>2219516.25</v>
      </c>
      <c r="D51" s="22">
        <v>25150</v>
      </c>
      <c r="E51" s="22">
        <v>0</v>
      </c>
      <c r="F51" s="20">
        <v>0</v>
      </c>
      <c r="G51" s="20">
        <v>0</v>
      </c>
      <c r="H51" s="20">
        <f t="shared" si="20"/>
        <v>-244146.78750000001</v>
      </c>
      <c r="I51" s="20">
        <v>0</v>
      </c>
      <c r="J51" s="9">
        <v>170148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16">
        <v>0</v>
      </c>
      <c r="S51" s="26">
        <v>15028</v>
      </c>
      <c r="T51" s="33">
        <v>0</v>
      </c>
      <c r="U51" s="33">
        <v>0</v>
      </c>
      <c r="V51" s="33">
        <v>0</v>
      </c>
      <c r="W51" s="33">
        <v>751.5</v>
      </c>
      <c r="X51" s="25">
        <v>0</v>
      </c>
      <c r="Y51" s="16">
        <v>15.7</v>
      </c>
      <c r="Z51" s="20">
        <f t="shared" si="1"/>
        <v>11798.55</v>
      </c>
      <c r="AA51" s="21">
        <v>3006</v>
      </c>
      <c r="AB51" s="21">
        <v>0</v>
      </c>
      <c r="AC51" s="33">
        <f>-(3006*0.25)</f>
        <v>-751.5</v>
      </c>
      <c r="AD51" s="27">
        <v>0</v>
      </c>
      <c r="AE51" s="25">
        <f t="shared" si="2"/>
        <v>0</v>
      </c>
      <c r="AF51" s="19">
        <f t="shared" si="7"/>
        <v>2182466.0124999997</v>
      </c>
      <c r="AG51" s="9">
        <f t="shared" si="3"/>
        <v>140.80425887096771</v>
      </c>
      <c r="AH51" s="9">
        <f t="shared" si="4"/>
        <v>11.733688239247309</v>
      </c>
    </row>
    <row r="52" spans="1:34" x14ac:dyDescent="0.25">
      <c r="A52" s="29" t="s">
        <v>150</v>
      </c>
      <c r="B52" s="28">
        <v>2113825</v>
      </c>
      <c r="C52" s="22">
        <f t="shared" si="0"/>
        <v>2219516.25</v>
      </c>
      <c r="D52" s="22">
        <v>25150</v>
      </c>
      <c r="E52" s="22">
        <v>0</v>
      </c>
      <c r="F52" s="20">
        <v>0</v>
      </c>
      <c r="G52" s="20">
        <v>0</v>
      </c>
      <c r="H52" s="20">
        <f t="shared" si="20"/>
        <v>-244146.78750000001</v>
      </c>
      <c r="I52" s="20">
        <v>0</v>
      </c>
      <c r="J52" s="9">
        <v>170148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16">
        <v>0</v>
      </c>
      <c r="S52" s="26">
        <v>15028</v>
      </c>
      <c r="T52" s="33">
        <f t="shared" ref="T52:T58" si="22">-(15028*0.03)</f>
        <v>-450.84</v>
      </c>
      <c r="U52" s="33">
        <v>0</v>
      </c>
      <c r="V52" s="33">
        <v>0</v>
      </c>
      <c r="W52" s="33">
        <v>751.5</v>
      </c>
      <c r="X52" s="25">
        <v>0</v>
      </c>
      <c r="Y52" s="16">
        <v>15.7</v>
      </c>
      <c r="Z52" s="20">
        <f t="shared" si="1"/>
        <v>4720.3620000000001</v>
      </c>
      <c r="AA52" s="21">
        <v>3006</v>
      </c>
      <c r="AB52" s="21">
        <v>0</v>
      </c>
      <c r="AC52" s="33">
        <f t="shared" ref="AC52:AC59" si="23">-(3006*0.25)</f>
        <v>-751.5</v>
      </c>
      <c r="AD52" s="27">
        <v>0</v>
      </c>
      <c r="AE52" s="25">
        <f t="shared" si="2"/>
        <v>0</v>
      </c>
      <c r="AF52" s="19">
        <f t="shared" si="7"/>
        <v>2175387.8245000001</v>
      </c>
      <c r="AG52" s="9">
        <f t="shared" si="3"/>
        <v>140.34760158064518</v>
      </c>
      <c r="AH52" s="9">
        <f t="shared" si="4"/>
        <v>11.695633465053765</v>
      </c>
    </row>
    <row r="53" spans="1:34" x14ac:dyDescent="0.25">
      <c r="A53" s="29" t="s">
        <v>151</v>
      </c>
      <c r="B53" s="28">
        <v>2113825</v>
      </c>
      <c r="C53" s="22">
        <f t="shared" si="0"/>
        <v>2219516.25</v>
      </c>
      <c r="D53" s="22">
        <v>25150</v>
      </c>
      <c r="E53" s="22">
        <v>0</v>
      </c>
      <c r="F53" s="20">
        <v>0</v>
      </c>
      <c r="G53" s="20">
        <v>0</v>
      </c>
      <c r="H53" s="20">
        <f t="shared" si="20"/>
        <v>-244146.78750000001</v>
      </c>
      <c r="I53" s="20">
        <f t="shared" si="8"/>
        <v>-155366.13750000001</v>
      </c>
      <c r="J53" s="9">
        <v>170148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16">
        <v>0</v>
      </c>
      <c r="S53" s="26">
        <v>15028</v>
      </c>
      <c r="T53" s="33">
        <v>0</v>
      </c>
      <c r="U53" s="33">
        <f t="shared" ref="U53:U59" si="24">-(15028*0.05)</f>
        <v>-751.40000000000009</v>
      </c>
      <c r="V53" s="33">
        <v>0</v>
      </c>
      <c r="W53" s="33">
        <v>751.5</v>
      </c>
      <c r="X53" s="25">
        <v>0</v>
      </c>
      <c r="Y53" s="16">
        <v>15.7</v>
      </c>
      <c r="Z53" s="20">
        <f t="shared" si="1"/>
        <v>1.5699999999985721</v>
      </c>
      <c r="AA53" s="21">
        <v>3006</v>
      </c>
      <c r="AB53" s="21">
        <v>0</v>
      </c>
      <c r="AC53" s="33">
        <f t="shared" si="23"/>
        <v>-751.5</v>
      </c>
      <c r="AD53" s="27">
        <v>0</v>
      </c>
      <c r="AE53" s="25">
        <f t="shared" si="2"/>
        <v>0</v>
      </c>
      <c r="AF53" s="19">
        <f t="shared" si="7"/>
        <v>2015302.895</v>
      </c>
      <c r="AG53" s="9">
        <f t="shared" si="3"/>
        <v>130.01954161290323</v>
      </c>
      <c r="AH53" s="9">
        <f t="shared" si="4"/>
        <v>10.834961801075268</v>
      </c>
    </row>
    <row r="54" spans="1:34" x14ac:dyDescent="0.25">
      <c r="A54" s="29" t="s">
        <v>152</v>
      </c>
      <c r="B54" s="28">
        <v>2113825</v>
      </c>
      <c r="C54" s="22">
        <f t="shared" si="0"/>
        <v>2219516.25</v>
      </c>
      <c r="D54" s="22">
        <v>25150</v>
      </c>
      <c r="E54" s="22">
        <v>0</v>
      </c>
      <c r="F54" s="20">
        <v>0</v>
      </c>
      <c r="G54" s="20">
        <v>0</v>
      </c>
      <c r="H54" s="20">
        <f t="shared" si="20"/>
        <v>-244146.78750000001</v>
      </c>
      <c r="I54" s="20">
        <v>0</v>
      </c>
      <c r="J54" s="9">
        <v>170148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16">
        <v>0</v>
      </c>
      <c r="S54" s="26">
        <v>15028</v>
      </c>
      <c r="T54" s="33">
        <v>0</v>
      </c>
      <c r="U54" s="33">
        <v>0</v>
      </c>
      <c r="V54" s="33">
        <v>0</v>
      </c>
      <c r="W54" s="33">
        <v>751.5</v>
      </c>
      <c r="X54" s="25">
        <v>0</v>
      </c>
      <c r="Y54" s="16">
        <v>15.7</v>
      </c>
      <c r="Z54" s="20">
        <f t="shared" si="1"/>
        <v>11798.55</v>
      </c>
      <c r="AA54" s="21">
        <v>3006</v>
      </c>
      <c r="AB54" s="21">
        <v>0</v>
      </c>
      <c r="AC54" s="33">
        <f t="shared" si="23"/>
        <v>-751.5</v>
      </c>
      <c r="AD54" s="27">
        <v>45</v>
      </c>
      <c r="AE54" s="25">
        <f t="shared" si="2"/>
        <v>101452.5</v>
      </c>
      <c r="AF54" s="19">
        <f t="shared" si="7"/>
        <v>2283918.5124999997</v>
      </c>
      <c r="AG54" s="9">
        <f t="shared" si="3"/>
        <v>147.34958145161289</v>
      </c>
      <c r="AH54" s="9">
        <f t="shared" si="4"/>
        <v>12.279131787634407</v>
      </c>
    </row>
    <row r="55" spans="1:34" x14ac:dyDescent="0.25">
      <c r="A55" s="29" t="s">
        <v>153</v>
      </c>
      <c r="B55" s="28">
        <v>2113825</v>
      </c>
      <c r="C55" s="22">
        <f t="shared" si="0"/>
        <v>2219516.25</v>
      </c>
      <c r="D55" s="22">
        <v>25150</v>
      </c>
      <c r="E55" s="22">
        <v>0</v>
      </c>
      <c r="F55" s="20">
        <v>0</v>
      </c>
      <c r="G55" s="20">
        <v>0</v>
      </c>
      <c r="H55" s="20">
        <f t="shared" si="20"/>
        <v>-244146.78750000001</v>
      </c>
      <c r="I55" s="20">
        <v>0</v>
      </c>
      <c r="J55" s="9">
        <v>170148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16">
        <v>0</v>
      </c>
      <c r="S55" s="26">
        <v>15028</v>
      </c>
      <c r="T55" s="33">
        <f t="shared" si="22"/>
        <v>-450.84</v>
      </c>
      <c r="U55" s="33">
        <v>0</v>
      </c>
      <c r="V55" s="33">
        <v>0</v>
      </c>
      <c r="W55" s="33">
        <v>751.5</v>
      </c>
      <c r="X55" s="25">
        <v>0</v>
      </c>
      <c r="Y55" s="16">
        <v>15.7</v>
      </c>
      <c r="Z55" s="20">
        <f t="shared" si="1"/>
        <v>4720.3620000000001</v>
      </c>
      <c r="AA55" s="21">
        <v>3006</v>
      </c>
      <c r="AB55" s="21">
        <v>0</v>
      </c>
      <c r="AC55" s="33">
        <f t="shared" si="23"/>
        <v>-751.5</v>
      </c>
      <c r="AD55" s="27">
        <v>45</v>
      </c>
      <c r="AE55" s="25">
        <f t="shared" si="2"/>
        <v>101452.5</v>
      </c>
      <c r="AF55" s="19">
        <f t="shared" si="7"/>
        <v>2276840.3245000001</v>
      </c>
      <c r="AG55" s="9">
        <f t="shared" si="3"/>
        <v>146.89292416129032</v>
      </c>
      <c r="AH55" s="9">
        <f t="shared" si="4"/>
        <v>12.24107701344086</v>
      </c>
    </row>
    <row r="56" spans="1:34" x14ac:dyDescent="0.25">
      <c r="A56" s="29" t="s">
        <v>154</v>
      </c>
      <c r="B56" s="28">
        <v>2113825</v>
      </c>
      <c r="C56" s="22">
        <f t="shared" si="0"/>
        <v>2219516.25</v>
      </c>
      <c r="D56" s="22">
        <v>25150</v>
      </c>
      <c r="E56" s="22">
        <v>0</v>
      </c>
      <c r="F56" s="20">
        <v>0</v>
      </c>
      <c r="G56" s="20">
        <v>0</v>
      </c>
      <c r="H56" s="20">
        <f t="shared" si="20"/>
        <v>-244146.78750000001</v>
      </c>
      <c r="I56" s="20">
        <f t="shared" si="8"/>
        <v>-155366.13750000001</v>
      </c>
      <c r="J56" s="9">
        <v>170148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16">
        <v>0</v>
      </c>
      <c r="S56" s="26">
        <v>15028</v>
      </c>
      <c r="T56" s="33">
        <v>0</v>
      </c>
      <c r="U56" s="33">
        <f t="shared" si="24"/>
        <v>-751.40000000000009</v>
      </c>
      <c r="V56" s="33">
        <v>0</v>
      </c>
      <c r="W56" s="33">
        <v>751.5</v>
      </c>
      <c r="X56" s="25">
        <v>0</v>
      </c>
      <c r="Y56" s="16">
        <v>15.7</v>
      </c>
      <c r="Z56" s="20">
        <f t="shared" si="1"/>
        <v>1.5699999999985721</v>
      </c>
      <c r="AA56" s="21">
        <v>3006</v>
      </c>
      <c r="AB56" s="21">
        <v>0</v>
      </c>
      <c r="AC56" s="33">
        <f t="shared" si="23"/>
        <v>-751.5</v>
      </c>
      <c r="AD56" s="27">
        <v>45</v>
      </c>
      <c r="AE56" s="25">
        <f t="shared" si="2"/>
        <v>101452.5</v>
      </c>
      <c r="AF56" s="19">
        <f t="shared" si="7"/>
        <v>2116755.395</v>
      </c>
      <c r="AG56" s="9">
        <f t="shared" si="3"/>
        <v>136.5648641935484</v>
      </c>
      <c r="AH56" s="9">
        <f t="shared" si="4"/>
        <v>11.380405349462366</v>
      </c>
    </row>
    <row r="57" spans="1:34" x14ac:dyDescent="0.25">
      <c r="A57" s="29" t="s">
        <v>155</v>
      </c>
      <c r="B57" s="28">
        <v>2113825</v>
      </c>
      <c r="C57" s="22">
        <f t="shared" si="0"/>
        <v>2219516.25</v>
      </c>
      <c r="D57" s="22">
        <v>25150</v>
      </c>
      <c r="E57" s="22">
        <v>0</v>
      </c>
      <c r="F57" s="20">
        <v>0</v>
      </c>
      <c r="G57" s="20">
        <v>0</v>
      </c>
      <c r="H57" s="20">
        <f t="shared" si="20"/>
        <v>-244146.78750000001</v>
      </c>
      <c r="I57" s="20">
        <v>0</v>
      </c>
      <c r="J57" s="9">
        <v>170148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16">
        <v>0</v>
      </c>
      <c r="S57" s="26">
        <v>15028</v>
      </c>
      <c r="T57" s="33">
        <v>0</v>
      </c>
      <c r="U57" s="33">
        <v>0</v>
      </c>
      <c r="V57" s="33">
        <v>0</v>
      </c>
      <c r="W57" s="33">
        <v>751.5</v>
      </c>
      <c r="X57" s="25">
        <v>0</v>
      </c>
      <c r="Y57" s="16">
        <v>15.7</v>
      </c>
      <c r="Z57" s="20">
        <f t="shared" si="1"/>
        <v>11798.55</v>
      </c>
      <c r="AA57" s="21">
        <v>3006</v>
      </c>
      <c r="AB57" s="21">
        <v>0</v>
      </c>
      <c r="AC57" s="33">
        <f t="shared" si="23"/>
        <v>-751.5</v>
      </c>
      <c r="AD57" s="27">
        <v>80</v>
      </c>
      <c r="AE57" s="25">
        <f t="shared" si="2"/>
        <v>180360</v>
      </c>
      <c r="AF57" s="19">
        <f t="shared" si="7"/>
        <v>2362826.0124999997</v>
      </c>
      <c r="AG57" s="9">
        <f t="shared" si="3"/>
        <v>152.4403879032258</v>
      </c>
      <c r="AH57" s="9">
        <f t="shared" si="4"/>
        <v>12.70336565860215</v>
      </c>
    </row>
    <row r="58" spans="1:34" x14ac:dyDescent="0.25">
      <c r="A58" s="29" t="s">
        <v>156</v>
      </c>
      <c r="B58" s="28">
        <v>2113825</v>
      </c>
      <c r="C58" s="22">
        <f t="shared" si="0"/>
        <v>2219516.25</v>
      </c>
      <c r="D58" s="22">
        <v>25150</v>
      </c>
      <c r="E58" s="22">
        <v>0</v>
      </c>
      <c r="F58" s="20">
        <v>0</v>
      </c>
      <c r="G58" s="20">
        <v>0</v>
      </c>
      <c r="H58" s="20">
        <f t="shared" si="20"/>
        <v>-244146.78750000001</v>
      </c>
      <c r="I58" s="20">
        <v>0</v>
      </c>
      <c r="J58" s="9">
        <v>170148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16">
        <v>0</v>
      </c>
      <c r="S58" s="26">
        <v>15028</v>
      </c>
      <c r="T58" s="33">
        <f t="shared" si="22"/>
        <v>-450.84</v>
      </c>
      <c r="U58" s="33">
        <v>0</v>
      </c>
      <c r="V58" s="33">
        <v>0</v>
      </c>
      <c r="W58" s="33">
        <v>751.5</v>
      </c>
      <c r="X58" s="25">
        <v>0</v>
      </c>
      <c r="Y58" s="16">
        <v>15.7</v>
      </c>
      <c r="Z58" s="20">
        <f t="shared" si="1"/>
        <v>4720.3620000000001</v>
      </c>
      <c r="AA58" s="21">
        <v>3006</v>
      </c>
      <c r="AB58" s="21">
        <v>0</v>
      </c>
      <c r="AC58" s="33">
        <f t="shared" si="23"/>
        <v>-751.5</v>
      </c>
      <c r="AD58" s="27">
        <v>80</v>
      </c>
      <c r="AE58" s="25">
        <f t="shared" si="2"/>
        <v>180360</v>
      </c>
      <c r="AF58" s="19">
        <f t="shared" si="7"/>
        <v>2355747.8245000001</v>
      </c>
      <c r="AG58" s="9">
        <f t="shared" si="3"/>
        <v>151.98373061290323</v>
      </c>
      <c r="AH58" s="9">
        <f t="shared" si="4"/>
        <v>12.665310884408603</v>
      </c>
    </row>
    <row r="59" spans="1:34" x14ac:dyDescent="0.25">
      <c r="A59" s="29" t="s">
        <v>157</v>
      </c>
      <c r="B59" s="28">
        <v>2113825</v>
      </c>
      <c r="C59" s="22">
        <f t="shared" si="0"/>
        <v>2219516.25</v>
      </c>
      <c r="D59" s="22">
        <v>25150</v>
      </c>
      <c r="E59" s="22">
        <v>0</v>
      </c>
      <c r="F59" s="20">
        <v>0</v>
      </c>
      <c r="G59" s="20">
        <v>0</v>
      </c>
      <c r="H59" s="20">
        <f t="shared" si="20"/>
        <v>-244146.78750000001</v>
      </c>
      <c r="I59" s="20">
        <f t="shared" si="8"/>
        <v>-155366.13750000001</v>
      </c>
      <c r="J59" s="9">
        <v>170148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16">
        <v>0</v>
      </c>
      <c r="S59" s="26">
        <v>15028</v>
      </c>
      <c r="T59" s="33">
        <v>0</v>
      </c>
      <c r="U59" s="33">
        <f t="shared" si="24"/>
        <v>-751.40000000000009</v>
      </c>
      <c r="V59" s="33">
        <v>0</v>
      </c>
      <c r="W59" s="33">
        <v>751.5</v>
      </c>
      <c r="X59" s="25">
        <v>0</v>
      </c>
      <c r="Y59" s="16">
        <v>15.7</v>
      </c>
      <c r="Z59" s="20">
        <f t="shared" si="1"/>
        <v>1.5699999999985721</v>
      </c>
      <c r="AA59" s="21">
        <v>3006</v>
      </c>
      <c r="AB59" s="21">
        <v>0</v>
      </c>
      <c r="AC59" s="33">
        <f t="shared" si="23"/>
        <v>-751.5</v>
      </c>
      <c r="AD59" s="27">
        <v>80</v>
      </c>
      <c r="AE59" s="25">
        <f t="shared" si="2"/>
        <v>180360</v>
      </c>
      <c r="AF59" s="19">
        <f t="shared" si="7"/>
        <v>2195662.895</v>
      </c>
      <c r="AG59" s="9">
        <f t="shared" si="3"/>
        <v>141.65567064516128</v>
      </c>
      <c r="AH59" s="9">
        <f t="shared" si="4"/>
        <v>11.804639220430106</v>
      </c>
    </row>
    <row r="60" spans="1:34" x14ac:dyDescent="0.25">
      <c r="A60" s="37" t="s">
        <v>160</v>
      </c>
      <c r="B60" s="38">
        <v>2113825</v>
      </c>
      <c r="C60" s="38">
        <f t="shared" si="0"/>
        <v>2219516.25</v>
      </c>
      <c r="D60" s="22">
        <v>25150</v>
      </c>
      <c r="E60" s="39">
        <f>-(C60*0.07)</f>
        <v>-155366.13750000001</v>
      </c>
      <c r="F60" s="39">
        <v>0</v>
      </c>
      <c r="G60" s="39">
        <v>0</v>
      </c>
      <c r="H60" s="39">
        <v>0</v>
      </c>
      <c r="I60" s="39">
        <v>0</v>
      </c>
      <c r="J60" s="15">
        <v>240572</v>
      </c>
      <c r="K60" s="15">
        <f>4000*8</f>
        <v>32000</v>
      </c>
      <c r="L60" s="15">
        <v>0</v>
      </c>
      <c r="M60" s="15">
        <v>0</v>
      </c>
      <c r="N60" s="15">
        <f t="shared" si="16"/>
        <v>77500</v>
      </c>
      <c r="O60" s="15">
        <v>0</v>
      </c>
      <c r="P60" s="15">
        <v>85250</v>
      </c>
      <c r="Q60" s="15">
        <v>0</v>
      </c>
      <c r="R60" s="15">
        <v>0</v>
      </c>
      <c r="S60" s="40">
        <v>15500</v>
      </c>
      <c r="T60" s="41">
        <v>0</v>
      </c>
      <c r="U60" s="41">
        <v>0</v>
      </c>
      <c r="V60" s="41">
        <v>-93</v>
      </c>
      <c r="W60" s="41">
        <v>0</v>
      </c>
      <c r="X60" s="42">
        <v>0</v>
      </c>
      <c r="Y60" s="15">
        <v>15.7</v>
      </c>
      <c r="Z60" s="39">
        <f t="shared" si="1"/>
        <v>-1460.1</v>
      </c>
      <c r="AA60" s="40">
        <v>3100</v>
      </c>
      <c r="AB60" s="40">
        <f t="shared" si="14"/>
        <v>93</v>
      </c>
      <c r="AC60" s="41">
        <v>0</v>
      </c>
      <c r="AD60" s="42">
        <v>0</v>
      </c>
      <c r="AE60" s="42">
        <f t="shared" si="2"/>
        <v>0</v>
      </c>
      <c r="AF60" s="43">
        <f t="shared" si="7"/>
        <v>2523162.0124999997</v>
      </c>
      <c r="AG60" s="15">
        <f t="shared" si="3"/>
        <v>162.78464596774191</v>
      </c>
      <c r="AH60" s="15">
        <f t="shared" si="4"/>
        <v>13.565387163978492</v>
      </c>
    </row>
    <row r="61" spans="1:34" x14ac:dyDescent="0.25">
      <c r="A61" s="30" t="s">
        <v>75</v>
      </c>
      <c r="B61" s="28">
        <v>2113825</v>
      </c>
      <c r="C61" s="22">
        <f t="shared" si="0"/>
        <v>2219516.25</v>
      </c>
      <c r="D61" s="22">
        <v>25150</v>
      </c>
      <c r="E61" s="20">
        <f t="shared" ref="E61:E95" si="25">-(C61*0.07)</f>
        <v>-155366.13750000001</v>
      </c>
      <c r="F61" s="20">
        <v>0</v>
      </c>
      <c r="G61" s="20">
        <v>0</v>
      </c>
      <c r="H61" s="20">
        <v>0</v>
      </c>
      <c r="I61" s="20">
        <v>0</v>
      </c>
      <c r="J61" s="9">
        <v>240572</v>
      </c>
      <c r="K61" s="9">
        <f t="shared" ref="K61:K77" si="26">4000*8</f>
        <v>32000</v>
      </c>
      <c r="L61" s="9">
        <v>0</v>
      </c>
      <c r="M61" s="9">
        <v>0</v>
      </c>
      <c r="N61" s="9">
        <f t="shared" si="16"/>
        <v>77500</v>
      </c>
      <c r="O61" s="9">
        <v>0</v>
      </c>
      <c r="P61" s="9">
        <v>85250</v>
      </c>
      <c r="Q61" s="9">
        <v>0</v>
      </c>
      <c r="R61" s="16">
        <v>0</v>
      </c>
      <c r="S61" s="26">
        <v>15500</v>
      </c>
      <c r="T61" s="33">
        <f t="shared" si="6"/>
        <v>-465</v>
      </c>
      <c r="U61" s="33">
        <v>0</v>
      </c>
      <c r="V61" s="33">
        <v>-93</v>
      </c>
      <c r="W61" s="33">
        <v>0</v>
      </c>
      <c r="X61" s="25">
        <v>0</v>
      </c>
      <c r="Y61" s="16">
        <v>15.7</v>
      </c>
      <c r="Z61" s="20">
        <f t="shared" si="1"/>
        <v>-8760.6</v>
      </c>
      <c r="AA61" s="21">
        <v>3100</v>
      </c>
      <c r="AB61" s="21">
        <f t="shared" si="14"/>
        <v>93</v>
      </c>
      <c r="AC61" s="33">
        <v>0</v>
      </c>
      <c r="AD61" s="27">
        <v>0</v>
      </c>
      <c r="AE61" s="25">
        <f t="shared" si="2"/>
        <v>0</v>
      </c>
      <c r="AF61" s="19">
        <f t="shared" si="7"/>
        <v>2515861.5124999997</v>
      </c>
      <c r="AG61" s="9">
        <f t="shared" si="3"/>
        <v>162.31364596774191</v>
      </c>
      <c r="AH61" s="9">
        <f t="shared" si="4"/>
        <v>13.526137163978492</v>
      </c>
    </row>
    <row r="62" spans="1:34" x14ac:dyDescent="0.25">
      <c r="A62" s="30" t="s">
        <v>80</v>
      </c>
      <c r="B62" s="28">
        <v>2113825</v>
      </c>
      <c r="C62" s="22">
        <f t="shared" si="0"/>
        <v>2219516.25</v>
      </c>
      <c r="D62" s="22">
        <v>25150</v>
      </c>
      <c r="E62" s="20">
        <f t="shared" si="25"/>
        <v>-155366.13750000001</v>
      </c>
      <c r="F62" s="20">
        <v>0</v>
      </c>
      <c r="G62" s="20">
        <v>0</v>
      </c>
      <c r="H62" s="20">
        <v>0</v>
      </c>
      <c r="I62" s="20">
        <f t="shared" si="8"/>
        <v>-155366.13750000001</v>
      </c>
      <c r="J62" s="9">
        <v>240572</v>
      </c>
      <c r="K62" s="9">
        <f t="shared" si="26"/>
        <v>32000</v>
      </c>
      <c r="L62" s="9">
        <v>0</v>
      </c>
      <c r="M62" s="9">
        <v>0</v>
      </c>
      <c r="N62" s="9">
        <f t="shared" si="16"/>
        <v>77500</v>
      </c>
      <c r="O62" s="9">
        <v>0</v>
      </c>
      <c r="P62" s="9">
        <v>85250</v>
      </c>
      <c r="Q62" s="9">
        <v>0</v>
      </c>
      <c r="R62" s="16">
        <v>0</v>
      </c>
      <c r="S62" s="26">
        <v>15500</v>
      </c>
      <c r="T62" s="33">
        <v>0</v>
      </c>
      <c r="U62" s="33">
        <f t="shared" si="9"/>
        <v>-775</v>
      </c>
      <c r="V62" s="33">
        <v>-93</v>
      </c>
      <c r="W62" s="33">
        <v>0</v>
      </c>
      <c r="X62" s="25">
        <v>0</v>
      </c>
      <c r="Y62" s="16">
        <v>15.7</v>
      </c>
      <c r="Z62" s="20">
        <f t="shared" si="1"/>
        <v>-13627.599999999999</v>
      </c>
      <c r="AA62" s="21">
        <v>3100</v>
      </c>
      <c r="AB62" s="21">
        <f t="shared" si="14"/>
        <v>93</v>
      </c>
      <c r="AC62" s="33">
        <v>0</v>
      </c>
      <c r="AD62" s="27">
        <v>0</v>
      </c>
      <c r="AE62" s="25">
        <f t="shared" si="2"/>
        <v>0</v>
      </c>
      <c r="AF62" s="19">
        <f t="shared" si="7"/>
        <v>2355628.375</v>
      </c>
      <c r="AG62" s="9">
        <f t="shared" si="3"/>
        <v>151.9760241935484</v>
      </c>
      <c r="AH62" s="9">
        <f t="shared" si="4"/>
        <v>12.6646686827957</v>
      </c>
    </row>
    <row r="63" spans="1:34" x14ac:dyDescent="0.25">
      <c r="A63" s="30" t="s">
        <v>70</v>
      </c>
      <c r="B63" s="28">
        <v>2113825</v>
      </c>
      <c r="C63" s="22">
        <f t="shared" si="0"/>
        <v>2219516.25</v>
      </c>
      <c r="D63" s="22">
        <v>25150</v>
      </c>
      <c r="E63" s="20">
        <f t="shared" si="25"/>
        <v>-155366.13750000001</v>
      </c>
      <c r="F63" s="20">
        <v>0</v>
      </c>
      <c r="G63" s="20">
        <v>0</v>
      </c>
      <c r="H63" s="20">
        <v>0</v>
      </c>
      <c r="I63" s="20">
        <v>0</v>
      </c>
      <c r="J63" s="9">
        <v>240572</v>
      </c>
      <c r="K63" s="9">
        <f t="shared" si="26"/>
        <v>32000</v>
      </c>
      <c r="L63" s="9">
        <v>0</v>
      </c>
      <c r="M63" s="9">
        <v>0</v>
      </c>
      <c r="N63" s="9">
        <f t="shared" si="16"/>
        <v>77500</v>
      </c>
      <c r="O63" s="9">
        <v>0</v>
      </c>
      <c r="P63" s="9">
        <v>85250</v>
      </c>
      <c r="Q63" s="9">
        <v>0</v>
      </c>
      <c r="R63" s="16">
        <v>0</v>
      </c>
      <c r="S63" s="26">
        <v>15500</v>
      </c>
      <c r="T63" s="33">
        <v>0</v>
      </c>
      <c r="U63" s="33">
        <v>0</v>
      </c>
      <c r="V63" s="33">
        <v>-93</v>
      </c>
      <c r="W63" s="33">
        <v>0</v>
      </c>
      <c r="X63" s="25">
        <v>0</v>
      </c>
      <c r="Y63" s="16">
        <v>15.7</v>
      </c>
      <c r="Z63" s="20">
        <f t="shared" si="1"/>
        <v>-1460.1</v>
      </c>
      <c r="AA63" s="21">
        <v>3100</v>
      </c>
      <c r="AB63" s="21">
        <f t="shared" si="14"/>
        <v>93</v>
      </c>
      <c r="AC63" s="33">
        <v>0</v>
      </c>
      <c r="AD63" s="27">
        <v>45</v>
      </c>
      <c r="AE63" s="25">
        <f t="shared" si="2"/>
        <v>143685</v>
      </c>
      <c r="AF63" s="19">
        <f t="shared" si="7"/>
        <v>2666847.0124999997</v>
      </c>
      <c r="AG63" s="9">
        <f t="shared" si="3"/>
        <v>172.05464596774192</v>
      </c>
      <c r="AH63" s="9">
        <f t="shared" si="4"/>
        <v>14.337887163978493</v>
      </c>
    </row>
    <row r="64" spans="1:34" x14ac:dyDescent="0.25">
      <c r="A64" s="30" t="s">
        <v>76</v>
      </c>
      <c r="B64" s="28">
        <v>2113825</v>
      </c>
      <c r="C64" s="22">
        <f t="shared" si="0"/>
        <v>2219516.25</v>
      </c>
      <c r="D64" s="22">
        <v>25150</v>
      </c>
      <c r="E64" s="20">
        <f t="shared" si="25"/>
        <v>-155366.13750000001</v>
      </c>
      <c r="F64" s="20">
        <v>0</v>
      </c>
      <c r="G64" s="20">
        <v>0</v>
      </c>
      <c r="H64" s="20">
        <v>0</v>
      </c>
      <c r="I64" s="20">
        <v>0</v>
      </c>
      <c r="J64" s="9">
        <v>240572</v>
      </c>
      <c r="K64" s="9">
        <f t="shared" si="26"/>
        <v>32000</v>
      </c>
      <c r="L64" s="9">
        <v>0</v>
      </c>
      <c r="M64" s="9">
        <v>0</v>
      </c>
      <c r="N64" s="9">
        <f t="shared" si="16"/>
        <v>77500</v>
      </c>
      <c r="O64" s="9">
        <v>0</v>
      </c>
      <c r="P64" s="9">
        <v>85250</v>
      </c>
      <c r="Q64" s="9">
        <v>0</v>
      </c>
      <c r="R64" s="16">
        <v>0</v>
      </c>
      <c r="S64" s="26">
        <v>15500</v>
      </c>
      <c r="T64" s="33">
        <f t="shared" si="6"/>
        <v>-465</v>
      </c>
      <c r="U64" s="33">
        <v>0</v>
      </c>
      <c r="V64" s="33">
        <v>-93</v>
      </c>
      <c r="W64" s="33">
        <v>0</v>
      </c>
      <c r="X64" s="25">
        <v>0</v>
      </c>
      <c r="Y64" s="16">
        <v>15.7</v>
      </c>
      <c r="Z64" s="20">
        <f t="shared" si="1"/>
        <v>-8760.6</v>
      </c>
      <c r="AA64" s="21">
        <v>3100</v>
      </c>
      <c r="AB64" s="21">
        <f t="shared" si="14"/>
        <v>93</v>
      </c>
      <c r="AC64" s="33">
        <v>0</v>
      </c>
      <c r="AD64" s="27">
        <v>45</v>
      </c>
      <c r="AE64" s="25">
        <f t="shared" si="2"/>
        <v>143685</v>
      </c>
      <c r="AF64" s="19">
        <f t="shared" si="7"/>
        <v>2659546.5124999997</v>
      </c>
      <c r="AG64" s="9">
        <f t="shared" si="3"/>
        <v>171.58364596774192</v>
      </c>
      <c r="AH64" s="9">
        <f t="shared" si="4"/>
        <v>14.298637163978492</v>
      </c>
    </row>
    <row r="65" spans="1:34" x14ac:dyDescent="0.25">
      <c r="A65" s="30" t="s">
        <v>81</v>
      </c>
      <c r="B65" s="28">
        <v>2113825</v>
      </c>
      <c r="C65" s="22">
        <f t="shared" si="0"/>
        <v>2219516.25</v>
      </c>
      <c r="D65" s="22">
        <v>25150</v>
      </c>
      <c r="E65" s="20">
        <f t="shared" si="25"/>
        <v>-155366.13750000001</v>
      </c>
      <c r="F65" s="20">
        <v>0</v>
      </c>
      <c r="G65" s="20">
        <v>0</v>
      </c>
      <c r="H65" s="20">
        <v>0</v>
      </c>
      <c r="I65" s="20">
        <f t="shared" si="8"/>
        <v>-155366.13750000001</v>
      </c>
      <c r="J65" s="9">
        <v>240572</v>
      </c>
      <c r="K65" s="9">
        <f t="shared" si="26"/>
        <v>32000</v>
      </c>
      <c r="L65" s="9">
        <v>0</v>
      </c>
      <c r="M65" s="9">
        <v>0</v>
      </c>
      <c r="N65" s="9">
        <f t="shared" si="16"/>
        <v>77500</v>
      </c>
      <c r="O65" s="9">
        <v>0</v>
      </c>
      <c r="P65" s="9">
        <v>85250</v>
      </c>
      <c r="Q65" s="9">
        <v>0</v>
      </c>
      <c r="R65" s="16">
        <v>0</v>
      </c>
      <c r="S65" s="26">
        <v>15500</v>
      </c>
      <c r="T65" s="33">
        <v>0</v>
      </c>
      <c r="U65" s="33">
        <f t="shared" si="9"/>
        <v>-775</v>
      </c>
      <c r="V65" s="33">
        <v>-93</v>
      </c>
      <c r="W65" s="33">
        <v>0</v>
      </c>
      <c r="X65" s="25">
        <v>0</v>
      </c>
      <c r="Y65" s="16">
        <v>15.7</v>
      </c>
      <c r="Z65" s="20">
        <f t="shared" si="1"/>
        <v>-13627.599999999999</v>
      </c>
      <c r="AA65" s="21">
        <v>3100</v>
      </c>
      <c r="AB65" s="21">
        <f t="shared" si="14"/>
        <v>93</v>
      </c>
      <c r="AC65" s="33">
        <v>0</v>
      </c>
      <c r="AD65" s="27">
        <v>45</v>
      </c>
      <c r="AE65" s="25">
        <f t="shared" si="2"/>
        <v>143685</v>
      </c>
      <c r="AF65" s="19">
        <f t="shared" si="7"/>
        <v>2499313.375</v>
      </c>
      <c r="AG65" s="9">
        <f t="shared" si="3"/>
        <v>161.24602419354838</v>
      </c>
      <c r="AH65" s="9">
        <f t="shared" si="4"/>
        <v>13.437168682795699</v>
      </c>
    </row>
    <row r="66" spans="1:34" x14ac:dyDescent="0.25">
      <c r="A66" s="30" t="s">
        <v>71</v>
      </c>
      <c r="B66" s="28">
        <v>2113825</v>
      </c>
      <c r="C66" s="22">
        <f t="shared" si="0"/>
        <v>2219516.25</v>
      </c>
      <c r="D66" s="22">
        <v>25150</v>
      </c>
      <c r="E66" s="20">
        <f t="shared" si="25"/>
        <v>-155366.13750000001</v>
      </c>
      <c r="F66" s="20">
        <v>0</v>
      </c>
      <c r="G66" s="20">
        <v>0</v>
      </c>
      <c r="H66" s="20">
        <v>0</v>
      </c>
      <c r="I66" s="20">
        <v>0</v>
      </c>
      <c r="J66" s="9">
        <v>240572</v>
      </c>
      <c r="K66" s="9">
        <f t="shared" si="26"/>
        <v>32000</v>
      </c>
      <c r="L66" s="9">
        <v>0</v>
      </c>
      <c r="M66" s="9">
        <v>0</v>
      </c>
      <c r="N66" s="9">
        <f t="shared" si="16"/>
        <v>77500</v>
      </c>
      <c r="O66" s="9">
        <v>0</v>
      </c>
      <c r="P66" s="9">
        <v>85250</v>
      </c>
      <c r="Q66" s="9">
        <v>0</v>
      </c>
      <c r="R66" s="16">
        <v>0</v>
      </c>
      <c r="S66" s="26">
        <v>15500</v>
      </c>
      <c r="T66" s="33">
        <v>0</v>
      </c>
      <c r="U66" s="33">
        <v>0</v>
      </c>
      <c r="V66" s="33">
        <v>-93</v>
      </c>
      <c r="W66" s="33">
        <v>0</v>
      </c>
      <c r="X66" s="25">
        <v>0</v>
      </c>
      <c r="Y66" s="16">
        <v>15.7</v>
      </c>
      <c r="Z66" s="20">
        <f t="shared" si="1"/>
        <v>-1460.1</v>
      </c>
      <c r="AA66" s="21">
        <v>3100</v>
      </c>
      <c r="AB66" s="21">
        <f t="shared" si="14"/>
        <v>93</v>
      </c>
      <c r="AC66" s="33">
        <v>0</v>
      </c>
      <c r="AD66" s="27">
        <v>80</v>
      </c>
      <c r="AE66" s="25">
        <f t="shared" si="2"/>
        <v>255440</v>
      </c>
      <c r="AF66" s="19">
        <f t="shared" si="7"/>
        <v>2778602.0124999997</v>
      </c>
      <c r="AG66" s="9">
        <f t="shared" si="3"/>
        <v>179.26464596774193</v>
      </c>
      <c r="AH66" s="9">
        <f t="shared" si="4"/>
        <v>14.938720497311827</v>
      </c>
    </row>
    <row r="67" spans="1:34" x14ac:dyDescent="0.25">
      <c r="A67" s="30" t="s">
        <v>77</v>
      </c>
      <c r="B67" s="28">
        <v>2113825</v>
      </c>
      <c r="C67" s="22">
        <f t="shared" si="0"/>
        <v>2219516.25</v>
      </c>
      <c r="D67" s="22">
        <v>25150</v>
      </c>
      <c r="E67" s="20">
        <f t="shared" si="25"/>
        <v>-155366.13750000001</v>
      </c>
      <c r="F67" s="20">
        <v>0</v>
      </c>
      <c r="G67" s="20">
        <v>0</v>
      </c>
      <c r="H67" s="20">
        <v>0</v>
      </c>
      <c r="I67" s="20">
        <v>0</v>
      </c>
      <c r="J67" s="9">
        <v>240572</v>
      </c>
      <c r="K67" s="9">
        <f t="shared" si="26"/>
        <v>32000</v>
      </c>
      <c r="L67" s="9">
        <v>0</v>
      </c>
      <c r="M67" s="9">
        <v>0</v>
      </c>
      <c r="N67" s="9">
        <f t="shared" si="16"/>
        <v>77500</v>
      </c>
      <c r="O67" s="9">
        <v>0</v>
      </c>
      <c r="P67" s="9">
        <v>85250</v>
      </c>
      <c r="Q67" s="9">
        <v>0</v>
      </c>
      <c r="R67" s="16">
        <v>0</v>
      </c>
      <c r="S67" s="26">
        <v>15500</v>
      </c>
      <c r="T67" s="33">
        <f t="shared" si="6"/>
        <v>-465</v>
      </c>
      <c r="U67" s="33">
        <v>0</v>
      </c>
      <c r="V67" s="33">
        <v>-93</v>
      </c>
      <c r="W67" s="33">
        <v>0</v>
      </c>
      <c r="X67" s="25">
        <v>0</v>
      </c>
      <c r="Y67" s="16">
        <v>15.7</v>
      </c>
      <c r="Z67" s="20">
        <f t="shared" si="1"/>
        <v>-8760.6</v>
      </c>
      <c r="AA67" s="21">
        <v>3100</v>
      </c>
      <c r="AB67" s="21">
        <f t="shared" si="14"/>
        <v>93</v>
      </c>
      <c r="AC67" s="33">
        <v>0</v>
      </c>
      <c r="AD67" s="27">
        <v>80</v>
      </c>
      <c r="AE67" s="25">
        <f t="shared" si="2"/>
        <v>255440</v>
      </c>
      <c r="AF67" s="19">
        <f t="shared" si="7"/>
        <v>2771301.5124999997</v>
      </c>
      <c r="AG67" s="9">
        <f t="shared" si="3"/>
        <v>178.79364596774192</v>
      </c>
      <c r="AH67" s="9">
        <f t="shared" si="4"/>
        <v>14.899470497311826</v>
      </c>
    </row>
    <row r="68" spans="1:34" x14ac:dyDescent="0.25">
      <c r="A68" s="30" t="s">
        <v>82</v>
      </c>
      <c r="B68" s="28">
        <v>2113825</v>
      </c>
      <c r="C68" s="22">
        <f t="shared" si="0"/>
        <v>2219516.25</v>
      </c>
      <c r="D68" s="22">
        <v>25150</v>
      </c>
      <c r="E68" s="20">
        <f t="shared" si="25"/>
        <v>-155366.13750000001</v>
      </c>
      <c r="F68" s="20">
        <v>0</v>
      </c>
      <c r="G68" s="20">
        <v>0</v>
      </c>
      <c r="H68" s="20">
        <v>0</v>
      </c>
      <c r="I68" s="20">
        <f t="shared" si="8"/>
        <v>-155366.13750000001</v>
      </c>
      <c r="J68" s="9">
        <v>240572</v>
      </c>
      <c r="K68" s="9">
        <f t="shared" si="26"/>
        <v>32000</v>
      </c>
      <c r="L68" s="9">
        <v>0</v>
      </c>
      <c r="M68" s="9">
        <v>0</v>
      </c>
      <c r="N68" s="9">
        <f t="shared" si="16"/>
        <v>77500</v>
      </c>
      <c r="O68" s="9">
        <v>0</v>
      </c>
      <c r="P68" s="9">
        <v>85250</v>
      </c>
      <c r="Q68" s="9">
        <v>0</v>
      </c>
      <c r="R68" s="16">
        <v>0</v>
      </c>
      <c r="S68" s="26">
        <v>15500</v>
      </c>
      <c r="T68" s="33">
        <v>0</v>
      </c>
      <c r="U68" s="33">
        <f t="shared" si="9"/>
        <v>-775</v>
      </c>
      <c r="V68" s="33">
        <v>-93</v>
      </c>
      <c r="W68" s="33">
        <v>0</v>
      </c>
      <c r="X68" s="25">
        <v>0</v>
      </c>
      <c r="Y68" s="16">
        <v>15.7</v>
      </c>
      <c r="Z68" s="20">
        <f t="shared" si="1"/>
        <v>-13627.599999999999</v>
      </c>
      <c r="AA68" s="21">
        <v>3100</v>
      </c>
      <c r="AB68" s="21">
        <f t="shared" si="14"/>
        <v>93</v>
      </c>
      <c r="AC68" s="33">
        <v>0</v>
      </c>
      <c r="AD68" s="27">
        <v>80</v>
      </c>
      <c r="AE68" s="25">
        <f t="shared" si="2"/>
        <v>255440</v>
      </c>
      <c r="AF68" s="19">
        <f t="shared" si="7"/>
        <v>2611068.375</v>
      </c>
      <c r="AG68" s="9">
        <f t="shared" si="3"/>
        <v>168.45602419354839</v>
      </c>
      <c r="AH68" s="9">
        <f t="shared" si="4"/>
        <v>14.038002016129033</v>
      </c>
    </row>
    <row r="69" spans="1:34" x14ac:dyDescent="0.25">
      <c r="A69" s="30" t="s">
        <v>159</v>
      </c>
      <c r="B69" s="28">
        <v>2113825</v>
      </c>
      <c r="C69" s="22">
        <f t="shared" si="0"/>
        <v>2219516.25</v>
      </c>
      <c r="D69" s="22">
        <v>25150</v>
      </c>
      <c r="E69" s="20">
        <f t="shared" si="25"/>
        <v>-155366.13750000001</v>
      </c>
      <c r="F69" s="20">
        <v>0</v>
      </c>
      <c r="G69" s="20">
        <v>0</v>
      </c>
      <c r="H69" s="20">
        <v>0</v>
      </c>
      <c r="I69" s="20">
        <v>0</v>
      </c>
      <c r="J69" s="9">
        <v>240572</v>
      </c>
      <c r="K69" s="9">
        <f t="shared" si="26"/>
        <v>32000</v>
      </c>
      <c r="L69" s="9">
        <v>0</v>
      </c>
      <c r="M69" s="9">
        <v>0</v>
      </c>
      <c r="N69" s="9">
        <v>0</v>
      </c>
      <c r="O69" s="9">
        <f>15028*50/10</f>
        <v>75140</v>
      </c>
      <c r="P69" s="9">
        <v>0</v>
      </c>
      <c r="Q69" s="9">
        <f>15028*55/10</f>
        <v>82654</v>
      </c>
      <c r="R69" s="16">
        <v>0</v>
      </c>
      <c r="S69" s="26">
        <v>15028</v>
      </c>
      <c r="T69" s="33">
        <v>0</v>
      </c>
      <c r="U69" s="33">
        <v>0</v>
      </c>
      <c r="V69" s="33">
        <v>-90.18</v>
      </c>
      <c r="W69" s="33">
        <v>0</v>
      </c>
      <c r="X69" s="25">
        <v>0</v>
      </c>
      <c r="Y69" s="16">
        <v>15.7</v>
      </c>
      <c r="Z69" s="20">
        <f t="shared" si="1"/>
        <v>-1415.826</v>
      </c>
      <c r="AA69" s="21">
        <v>3006</v>
      </c>
      <c r="AB69" s="21">
        <f>3006*0.03</f>
        <v>90.179999999999993</v>
      </c>
      <c r="AC69" s="33">
        <v>0</v>
      </c>
      <c r="AD69" s="27">
        <v>0</v>
      </c>
      <c r="AE69" s="25">
        <f t="shared" si="2"/>
        <v>0</v>
      </c>
      <c r="AF69" s="19">
        <f t="shared" si="7"/>
        <v>2518250.2864999999</v>
      </c>
      <c r="AG69" s="9">
        <f t="shared" si="3"/>
        <v>162.46776041935485</v>
      </c>
      <c r="AH69" s="9">
        <f t="shared" si="4"/>
        <v>13.538980034946237</v>
      </c>
    </row>
    <row r="70" spans="1:34" x14ac:dyDescent="0.25">
      <c r="A70" s="30" t="s">
        <v>161</v>
      </c>
      <c r="B70" s="28">
        <v>2113825</v>
      </c>
      <c r="C70" s="22">
        <f t="shared" si="0"/>
        <v>2219516.25</v>
      </c>
      <c r="D70" s="22">
        <v>25150</v>
      </c>
      <c r="E70" s="20">
        <f t="shared" si="25"/>
        <v>-155366.13750000001</v>
      </c>
      <c r="F70" s="20">
        <v>0</v>
      </c>
      <c r="G70" s="20">
        <v>0</v>
      </c>
      <c r="H70" s="20">
        <v>0</v>
      </c>
      <c r="I70" s="20">
        <v>0</v>
      </c>
      <c r="J70" s="9">
        <v>240572</v>
      </c>
      <c r="K70" s="9">
        <f t="shared" si="26"/>
        <v>32000</v>
      </c>
      <c r="L70" s="9">
        <v>0</v>
      </c>
      <c r="M70" s="9">
        <v>0</v>
      </c>
      <c r="N70" s="9">
        <v>0</v>
      </c>
      <c r="O70" s="9">
        <f t="shared" ref="O70:O76" si="27">15028*50/10</f>
        <v>75140</v>
      </c>
      <c r="P70" s="9">
        <v>0</v>
      </c>
      <c r="Q70" s="9">
        <f t="shared" ref="Q70:Q95" si="28">15028*55/10</f>
        <v>82654</v>
      </c>
      <c r="R70" s="16">
        <v>0</v>
      </c>
      <c r="S70" s="26">
        <v>15028</v>
      </c>
      <c r="T70" s="33">
        <f t="shared" ref="T70:T76" si="29">-(15028*0.03)</f>
        <v>-450.84</v>
      </c>
      <c r="U70" s="33">
        <v>0</v>
      </c>
      <c r="V70" s="33">
        <v>-90.18</v>
      </c>
      <c r="W70" s="33">
        <v>0</v>
      </c>
      <c r="X70" s="25">
        <v>0</v>
      </c>
      <c r="Y70" s="16">
        <v>15.7</v>
      </c>
      <c r="Z70" s="20">
        <f t="shared" si="1"/>
        <v>-8494.0139999999992</v>
      </c>
      <c r="AA70" s="21">
        <v>3006</v>
      </c>
      <c r="AB70" s="21">
        <f t="shared" ref="AB70:AB77" si="30">3006*0.03</f>
        <v>90.179999999999993</v>
      </c>
      <c r="AC70" s="33">
        <v>0</v>
      </c>
      <c r="AD70" s="27">
        <v>0</v>
      </c>
      <c r="AE70" s="25">
        <f t="shared" si="2"/>
        <v>0</v>
      </c>
      <c r="AF70" s="19">
        <f t="shared" si="7"/>
        <v>2511172.0984999998</v>
      </c>
      <c r="AG70" s="9">
        <f t="shared" si="3"/>
        <v>162.01110312903225</v>
      </c>
      <c r="AH70" s="9">
        <f t="shared" si="4"/>
        <v>13.500925260752688</v>
      </c>
    </row>
    <row r="71" spans="1:34" x14ac:dyDescent="0.25">
      <c r="A71" s="30" t="s">
        <v>162</v>
      </c>
      <c r="B71" s="28">
        <v>2113825</v>
      </c>
      <c r="C71" s="22">
        <f t="shared" si="0"/>
        <v>2219516.25</v>
      </c>
      <c r="D71" s="22">
        <v>25150</v>
      </c>
      <c r="E71" s="20">
        <f t="shared" si="25"/>
        <v>-155366.13750000001</v>
      </c>
      <c r="F71" s="20">
        <v>0</v>
      </c>
      <c r="G71" s="20">
        <v>0</v>
      </c>
      <c r="H71" s="20">
        <v>0</v>
      </c>
      <c r="I71" s="20">
        <f t="shared" si="8"/>
        <v>-155366.13750000001</v>
      </c>
      <c r="J71" s="9">
        <v>240572</v>
      </c>
      <c r="K71" s="9">
        <f t="shared" si="26"/>
        <v>32000</v>
      </c>
      <c r="L71" s="9">
        <v>0</v>
      </c>
      <c r="M71" s="9">
        <v>0</v>
      </c>
      <c r="N71" s="9">
        <v>0</v>
      </c>
      <c r="O71" s="9">
        <f t="shared" si="27"/>
        <v>75140</v>
      </c>
      <c r="P71" s="9">
        <v>0</v>
      </c>
      <c r="Q71" s="9">
        <f t="shared" si="28"/>
        <v>82654</v>
      </c>
      <c r="R71" s="16">
        <v>0</v>
      </c>
      <c r="S71" s="26">
        <v>15028</v>
      </c>
      <c r="T71" s="33">
        <v>0</v>
      </c>
      <c r="U71" s="33">
        <f t="shared" ref="U71:U77" si="31">-(15028*0.05)</f>
        <v>-751.40000000000009</v>
      </c>
      <c r="V71" s="33">
        <v>-90.18</v>
      </c>
      <c r="W71" s="33">
        <v>0</v>
      </c>
      <c r="X71" s="25">
        <v>0</v>
      </c>
      <c r="Y71" s="16">
        <v>15.7</v>
      </c>
      <c r="Z71" s="20">
        <f t="shared" si="1"/>
        <v>-13212.806000000002</v>
      </c>
      <c r="AA71" s="21">
        <v>3006</v>
      </c>
      <c r="AB71" s="21">
        <f t="shared" si="30"/>
        <v>90.179999999999993</v>
      </c>
      <c r="AC71" s="33">
        <v>0</v>
      </c>
      <c r="AD71" s="27">
        <v>0</v>
      </c>
      <c r="AE71" s="25">
        <f t="shared" si="2"/>
        <v>0</v>
      </c>
      <c r="AF71" s="19">
        <f t="shared" ref="AF71:AF95" si="32">C71+D71+E71+F71+G71+H71+I71+J71+K71+L71+M71+N71+O71+P71+Q71+X71+Z71+AE71</f>
        <v>2351087.1690000002</v>
      </c>
      <c r="AG71" s="9">
        <f t="shared" si="3"/>
        <v>151.68304316129033</v>
      </c>
      <c r="AH71" s="9">
        <f t="shared" si="4"/>
        <v>12.640253596774194</v>
      </c>
    </row>
    <row r="72" spans="1:34" x14ac:dyDescent="0.25">
      <c r="A72" s="30" t="s">
        <v>163</v>
      </c>
      <c r="B72" s="28">
        <v>2113825</v>
      </c>
      <c r="C72" s="22">
        <f t="shared" si="0"/>
        <v>2219516.25</v>
      </c>
      <c r="D72" s="22">
        <v>25150</v>
      </c>
      <c r="E72" s="20">
        <f t="shared" si="25"/>
        <v>-155366.13750000001</v>
      </c>
      <c r="F72" s="20">
        <v>0</v>
      </c>
      <c r="G72" s="20">
        <v>0</v>
      </c>
      <c r="H72" s="20">
        <v>0</v>
      </c>
      <c r="I72" s="20">
        <v>0</v>
      </c>
      <c r="J72" s="9">
        <v>240572</v>
      </c>
      <c r="K72" s="9">
        <f t="shared" si="26"/>
        <v>32000</v>
      </c>
      <c r="L72" s="9">
        <v>0</v>
      </c>
      <c r="M72" s="9">
        <v>0</v>
      </c>
      <c r="N72" s="9">
        <v>0</v>
      </c>
      <c r="O72" s="9">
        <f t="shared" si="27"/>
        <v>75140</v>
      </c>
      <c r="P72" s="9">
        <v>0</v>
      </c>
      <c r="Q72" s="9">
        <f t="shared" si="28"/>
        <v>82654</v>
      </c>
      <c r="R72" s="16">
        <v>0</v>
      </c>
      <c r="S72" s="26">
        <v>15028</v>
      </c>
      <c r="T72" s="33">
        <v>0</v>
      </c>
      <c r="U72" s="33">
        <v>0</v>
      </c>
      <c r="V72" s="33">
        <v>-90.18</v>
      </c>
      <c r="W72" s="33">
        <v>0</v>
      </c>
      <c r="X72" s="25">
        <v>0</v>
      </c>
      <c r="Y72" s="16">
        <v>15.7</v>
      </c>
      <c r="Z72" s="20">
        <f t="shared" si="1"/>
        <v>-1415.826</v>
      </c>
      <c r="AA72" s="21">
        <v>3006</v>
      </c>
      <c r="AB72" s="21">
        <f t="shared" si="30"/>
        <v>90.179999999999993</v>
      </c>
      <c r="AC72" s="33">
        <v>0</v>
      </c>
      <c r="AD72" s="27">
        <v>45</v>
      </c>
      <c r="AE72" s="25">
        <f t="shared" si="2"/>
        <v>139328.1</v>
      </c>
      <c r="AF72" s="19">
        <f t="shared" si="32"/>
        <v>2657578.3865</v>
      </c>
      <c r="AG72" s="9">
        <f t="shared" si="3"/>
        <v>171.45667009677419</v>
      </c>
      <c r="AH72" s="9">
        <f t="shared" si="4"/>
        <v>14.288055841397849</v>
      </c>
    </row>
    <row r="73" spans="1:34" x14ac:dyDescent="0.25">
      <c r="A73" s="30" t="s">
        <v>164</v>
      </c>
      <c r="B73" s="28">
        <v>2113825</v>
      </c>
      <c r="C73" s="22">
        <f t="shared" si="0"/>
        <v>2219516.25</v>
      </c>
      <c r="D73" s="22">
        <v>25150</v>
      </c>
      <c r="E73" s="20">
        <f t="shared" si="25"/>
        <v>-155366.13750000001</v>
      </c>
      <c r="F73" s="20">
        <v>0</v>
      </c>
      <c r="G73" s="20">
        <v>0</v>
      </c>
      <c r="H73" s="20">
        <v>0</v>
      </c>
      <c r="I73" s="20">
        <v>0</v>
      </c>
      <c r="J73" s="9">
        <v>240572</v>
      </c>
      <c r="K73" s="9">
        <f t="shared" si="26"/>
        <v>32000</v>
      </c>
      <c r="L73" s="9">
        <v>0</v>
      </c>
      <c r="M73" s="9">
        <v>0</v>
      </c>
      <c r="N73" s="9">
        <v>0</v>
      </c>
      <c r="O73" s="9">
        <f t="shared" si="27"/>
        <v>75140</v>
      </c>
      <c r="P73" s="9">
        <v>0</v>
      </c>
      <c r="Q73" s="9">
        <f t="shared" si="28"/>
        <v>82654</v>
      </c>
      <c r="R73" s="16">
        <v>0</v>
      </c>
      <c r="S73" s="26">
        <v>15028</v>
      </c>
      <c r="T73" s="33">
        <f t="shared" si="29"/>
        <v>-450.84</v>
      </c>
      <c r="U73" s="33">
        <v>0</v>
      </c>
      <c r="V73" s="33">
        <v>-90.18</v>
      </c>
      <c r="W73" s="33">
        <v>0</v>
      </c>
      <c r="X73" s="25">
        <v>0</v>
      </c>
      <c r="Y73" s="16">
        <v>15.7</v>
      </c>
      <c r="Z73" s="20">
        <f t="shared" si="1"/>
        <v>-8494.0139999999992</v>
      </c>
      <c r="AA73" s="21">
        <v>3006</v>
      </c>
      <c r="AB73" s="21">
        <f t="shared" si="30"/>
        <v>90.179999999999993</v>
      </c>
      <c r="AC73" s="33">
        <v>0</v>
      </c>
      <c r="AD73" s="27">
        <v>45</v>
      </c>
      <c r="AE73" s="25">
        <f t="shared" si="2"/>
        <v>139328.1</v>
      </c>
      <c r="AF73" s="19">
        <f t="shared" si="32"/>
        <v>2650500.1984999999</v>
      </c>
      <c r="AG73" s="9">
        <f t="shared" si="3"/>
        <v>171.00001280645162</v>
      </c>
      <c r="AH73" s="9">
        <f t="shared" si="4"/>
        <v>14.250001067204302</v>
      </c>
    </row>
    <row r="74" spans="1:34" x14ac:dyDescent="0.25">
      <c r="A74" s="30" t="s">
        <v>165</v>
      </c>
      <c r="B74" s="28">
        <v>2113825</v>
      </c>
      <c r="C74" s="22">
        <f t="shared" si="0"/>
        <v>2219516.25</v>
      </c>
      <c r="D74" s="22">
        <v>25150</v>
      </c>
      <c r="E74" s="20">
        <f t="shared" si="25"/>
        <v>-155366.13750000001</v>
      </c>
      <c r="F74" s="20">
        <v>0</v>
      </c>
      <c r="G74" s="20">
        <v>0</v>
      </c>
      <c r="H74" s="20">
        <v>0</v>
      </c>
      <c r="I74" s="20">
        <f t="shared" si="8"/>
        <v>-155366.13750000001</v>
      </c>
      <c r="J74" s="9">
        <v>240572</v>
      </c>
      <c r="K74" s="9">
        <f t="shared" si="26"/>
        <v>32000</v>
      </c>
      <c r="L74" s="9">
        <v>0</v>
      </c>
      <c r="M74" s="9">
        <v>0</v>
      </c>
      <c r="N74" s="9">
        <v>0</v>
      </c>
      <c r="O74" s="9">
        <f t="shared" si="27"/>
        <v>75140</v>
      </c>
      <c r="P74" s="9">
        <v>0</v>
      </c>
      <c r="Q74" s="9">
        <f t="shared" si="28"/>
        <v>82654</v>
      </c>
      <c r="R74" s="16">
        <v>0</v>
      </c>
      <c r="S74" s="26">
        <v>15028</v>
      </c>
      <c r="T74" s="33">
        <v>0</v>
      </c>
      <c r="U74" s="33">
        <f t="shared" si="31"/>
        <v>-751.40000000000009</v>
      </c>
      <c r="V74" s="33">
        <v>-90.18</v>
      </c>
      <c r="W74" s="33">
        <v>0</v>
      </c>
      <c r="X74" s="25">
        <v>0</v>
      </c>
      <c r="Y74" s="16">
        <v>15.7</v>
      </c>
      <c r="Z74" s="20">
        <f t="shared" si="1"/>
        <v>-13212.806000000002</v>
      </c>
      <c r="AA74" s="21">
        <v>3006</v>
      </c>
      <c r="AB74" s="21">
        <f t="shared" si="30"/>
        <v>90.179999999999993</v>
      </c>
      <c r="AC74" s="33">
        <v>0</v>
      </c>
      <c r="AD74" s="27">
        <v>45</v>
      </c>
      <c r="AE74" s="25">
        <f t="shared" si="2"/>
        <v>139328.1</v>
      </c>
      <c r="AF74" s="19">
        <f t="shared" si="32"/>
        <v>2490415.2690000003</v>
      </c>
      <c r="AG74" s="9">
        <f t="shared" si="3"/>
        <v>160.6719528387097</v>
      </c>
      <c r="AH74" s="9">
        <f t="shared" si="4"/>
        <v>13.389329403225808</v>
      </c>
    </row>
    <row r="75" spans="1:34" x14ac:dyDescent="0.25">
      <c r="A75" s="30" t="s">
        <v>166</v>
      </c>
      <c r="B75" s="28">
        <v>2113825</v>
      </c>
      <c r="C75" s="22">
        <f t="shared" si="0"/>
        <v>2219516.25</v>
      </c>
      <c r="D75" s="22">
        <v>25150</v>
      </c>
      <c r="E75" s="20">
        <f t="shared" si="25"/>
        <v>-155366.13750000001</v>
      </c>
      <c r="F75" s="20">
        <v>0</v>
      </c>
      <c r="G75" s="20">
        <v>0</v>
      </c>
      <c r="H75" s="20">
        <v>0</v>
      </c>
      <c r="I75" s="20">
        <v>0</v>
      </c>
      <c r="J75" s="9">
        <v>240572</v>
      </c>
      <c r="K75" s="9">
        <f t="shared" si="26"/>
        <v>32000</v>
      </c>
      <c r="L75" s="9">
        <v>0</v>
      </c>
      <c r="M75" s="9">
        <v>0</v>
      </c>
      <c r="N75" s="9">
        <v>0</v>
      </c>
      <c r="O75" s="9">
        <f t="shared" si="27"/>
        <v>75140</v>
      </c>
      <c r="P75" s="9">
        <v>0</v>
      </c>
      <c r="Q75" s="9">
        <f t="shared" si="28"/>
        <v>82654</v>
      </c>
      <c r="R75" s="16">
        <v>0</v>
      </c>
      <c r="S75" s="26">
        <v>15028</v>
      </c>
      <c r="T75" s="33">
        <v>0</v>
      </c>
      <c r="U75" s="33">
        <v>0</v>
      </c>
      <c r="V75" s="33">
        <v>-90.18</v>
      </c>
      <c r="W75" s="33">
        <v>0</v>
      </c>
      <c r="X75" s="25">
        <v>0</v>
      </c>
      <c r="Y75" s="16">
        <v>15.7</v>
      </c>
      <c r="Z75" s="20">
        <f t="shared" si="1"/>
        <v>-1415.826</v>
      </c>
      <c r="AA75" s="21">
        <v>3006</v>
      </c>
      <c r="AB75" s="21">
        <f t="shared" si="30"/>
        <v>90.179999999999993</v>
      </c>
      <c r="AC75" s="33">
        <v>0</v>
      </c>
      <c r="AD75" s="27">
        <v>80</v>
      </c>
      <c r="AE75" s="25">
        <f t="shared" si="2"/>
        <v>247694.4</v>
      </c>
      <c r="AF75" s="19">
        <f t="shared" si="32"/>
        <v>2765944.6864999998</v>
      </c>
      <c r="AG75" s="9">
        <f t="shared" si="3"/>
        <v>178.44804429032257</v>
      </c>
      <c r="AH75" s="9">
        <f t="shared" si="4"/>
        <v>14.870670357526881</v>
      </c>
    </row>
    <row r="76" spans="1:34" x14ac:dyDescent="0.25">
      <c r="A76" s="30" t="s">
        <v>167</v>
      </c>
      <c r="B76" s="28">
        <v>2113825</v>
      </c>
      <c r="C76" s="22">
        <f t="shared" si="0"/>
        <v>2219516.25</v>
      </c>
      <c r="D76" s="22">
        <v>25150</v>
      </c>
      <c r="E76" s="20">
        <f t="shared" si="25"/>
        <v>-155366.13750000001</v>
      </c>
      <c r="F76" s="20">
        <v>0</v>
      </c>
      <c r="G76" s="20">
        <v>0</v>
      </c>
      <c r="H76" s="20">
        <v>0</v>
      </c>
      <c r="I76" s="20">
        <v>0</v>
      </c>
      <c r="J76" s="9">
        <v>240572</v>
      </c>
      <c r="K76" s="9">
        <f t="shared" si="26"/>
        <v>32000</v>
      </c>
      <c r="L76" s="9">
        <v>0</v>
      </c>
      <c r="M76" s="9">
        <v>0</v>
      </c>
      <c r="N76" s="9">
        <v>0</v>
      </c>
      <c r="O76" s="9">
        <f t="shared" si="27"/>
        <v>75140</v>
      </c>
      <c r="P76" s="9">
        <v>0</v>
      </c>
      <c r="Q76" s="9">
        <f t="shared" si="28"/>
        <v>82654</v>
      </c>
      <c r="R76" s="16">
        <v>0</v>
      </c>
      <c r="S76" s="26">
        <v>15028</v>
      </c>
      <c r="T76" s="33">
        <f t="shared" si="29"/>
        <v>-450.84</v>
      </c>
      <c r="U76" s="33">
        <v>0</v>
      </c>
      <c r="V76" s="33">
        <v>-90.18</v>
      </c>
      <c r="W76" s="33">
        <v>0</v>
      </c>
      <c r="X76" s="25">
        <v>0</v>
      </c>
      <c r="Y76" s="16">
        <v>15.7</v>
      </c>
      <c r="Z76" s="20">
        <f t="shared" si="1"/>
        <v>-8494.0139999999992</v>
      </c>
      <c r="AA76" s="21">
        <v>3006</v>
      </c>
      <c r="AB76" s="21">
        <f t="shared" si="30"/>
        <v>90.179999999999993</v>
      </c>
      <c r="AC76" s="33">
        <v>0</v>
      </c>
      <c r="AD76" s="27">
        <v>80</v>
      </c>
      <c r="AE76" s="25">
        <f t="shared" si="2"/>
        <v>247694.4</v>
      </c>
      <c r="AF76" s="19">
        <f t="shared" si="32"/>
        <v>2758866.4984999998</v>
      </c>
      <c r="AG76" s="9">
        <f t="shared" si="3"/>
        <v>177.99138699999997</v>
      </c>
      <c r="AH76" s="9">
        <f t="shared" si="4"/>
        <v>14.832615583333331</v>
      </c>
    </row>
    <row r="77" spans="1:34" x14ac:dyDescent="0.25">
      <c r="A77" s="30" t="s">
        <v>168</v>
      </c>
      <c r="B77" s="28">
        <v>2113825</v>
      </c>
      <c r="C77" s="22">
        <f t="shared" si="0"/>
        <v>2219516.25</v>
      </c>
      <c r="D77" s="22">
        <v>25150</v>
      </c>
      <c r="E77" s="20">
        <f t="shared" si="25"/>
        <v>-155366.13750000001</v>
      </c>
      <c r="F77" s="20">
        <v>0</v>
      </c>
      <c r="G77" s="20">
        <v>0</v>
      </c>
      <c r="H77" s="20">
        <v>0</v>
      </c>
      <c r="I77" s="20">
        <f t="shared" si="8"/>
        <v>-155366.13750000001</v>
      </c>
      <c r="J77" s="9">
        <v>240572</v>
      </c>
      <c r="K77" s="9">
        <f t="shared" si="26"/>
        <v>32000</v>
      </c>
      <c r="L77" s="9">
        <v>0</v>
      </c>
      <c r="M77" s="9">
        <v>0</v>
      </c>
      <c r="N77" s="9">
        <v>0</v>
      </c>
      <c r="O77" s="9">
        <f>15028*50/10</f>
        <v>75140</v>
      </c>
      <c r="P77" s="9">
        <v>0</v>
      </c>
      <c r="Q77" s="9">
        <f t="shared" si="28"/>
        <v>82654</v>
      </c>
      <c r="R77" s="16">
        <v>0</v>
      </c>
      <c r="S77" s="26">
        <v>15028</v>
      </c>
      <c r="T77" s="33">
        <v>0</v>
      </c>
      <c r="U77" s="33">
        <f t="shared" si="31"/>
        <v>-751.40000000000009</v>
      </c>
      <c r="V77" s="33">
        <v>-90.18</v>
      </c>
      <c r="W77" s="33">
        <v>0</v>
      </c>
      <c r="X77" s="25">
        <v>0</v>
      </c>
      <c r="Y77" s="16">
        <v>15.7</v>
      </c>
      <c r="Z77" s="20">
        <f t="shared" si="1"/>
        <v>-13212.806000000002</v>
      </c>
      <c r="AA77" s="21">
        <v>3006</v>
      </c>
      <c r="AB77" s="21">
        <f t="shared" si="30"/>
        <v>90.179999999999993</v>
      </c>
      <c r="AC77" s="33">
        <v>0</v>
      </c>
      <c r="AD77" s="27">
        <v>80</v>
      </c>
      <c r="AE77" s="25">
        <f t="shared" si="2"/>
        <v>247694.4</v>
      </c>
      <c r="AF77" s="19">
        <f t="shared" si="32"/>
        <v>2598781.5690000001</v>
      </c>
      <c r="AG77" s="9">
        <f t="shared" si="3"/>
        <v>167.66332703225808</v>
      </c>
      <c r="AH77" s="9">
        <f t="shared" si="4"/>
        <v>13.971943919354841</v>
      </c>
    </row>
    <row r="78" spans="1:34" x14ac:dyDescent="0.25">
      <c r="A78" s="30" t="s">
        <v>91</v>
      </c>
      <c r="B78" s="28">
        <v>2113825</v>
      </c>
      <c r="C78" s="22">
        <f t="shared" si="0"/>
        <v>2219516.25</v>
      </c>
      <c r="D78" s="22">
        <v>25150</v>
      </c>
      <c r="E78" s="20">
        <f t="shared" si="25"/>
        <v>-155366.13750000001</v>
      </c>
      <c r="F78" s="20">
        <v>0</v>
      </c>
      <c r="G78" s="20">
        <f>-(C78*0.07)</f>
        <v>-155366.13750000001</v>
      </c>
      <c r="H78" s="20">
        <v>0</v>
      </c>
      <c r="I78" s="20">
        <v>0</v>
      </c>
      <c r="J78" s="9">
        <v>170148</v>
      </c>
      <c r="K78" s="9">
        <v>20000</v>
      </c>
      <c r="L78" s="9">
        <v>0</v>
      </c>
      <c r="M78" s="9">
        <v>0</v>
      </c>
      <c r="N78" s="9">
        <v>0</v>
      </c>
      <c r="O78" s="9">
        <v>0</v>
      </c>
      <c r="P78" s="9">
        <v>85250</v>
      </c>
      <c r="Q78" s="9">
        <v>0</v>
      </c>
      <c r="R78" s="16">
        <v>0</v>
      </c>
      <c r="S78" s="26">
        <v>15500</v>
      </c>
      <c r="T78" s="33">
        <v>0</v>
      </c>
      <c r="U78" s="33">
        <v>0</v>
      </c>
      <c r="V78" s="33">
        <v>0</v>
      </c>
      <c r="W78" s="33">
        <v>775</v>
      </c>
      <c r="X78" s="25">
        <v>0</v>
      </c>
      <c r="Y78" s="16">
        <v>15.7</v>
      </c>
      <c r="Z78" s="20">
        <f t="shared" si="1"/>
        <v>12167.5</v>
      </c>
      <c r="AA78" s="21">
        <v>3100</v>
      </c>
      <c r="AB78" s="21">
        <v>0</v>
      </c>
      <c r="AC78" s="33">
        <v>-775</v>
      </c>
      <c r="AD78" s="27">
        <v>0</v>
      </c>
      <c r="AE78" s="25">
        <f t="shared" si="2"/>
        <v>0</v>
      </c>
      <c r="AF78" s="19">
        <f t="shared" si="32"/>
        <v>2221499.4750000001</v>
      </c>
      <c r="AG78" s="9">
        <f t="shared" si="3"/>
        <v>143.32254677419354</v>
      </c>
      <c r="AH78" s="9">
        <f t="shared" si="4"/>
        <v>11.943545564516128</v>
      </c>
    </row>
    <row r="79" spans="1:34" x14ac:dyDescent="0.25">
      <c r="A79" s="30" t="s">
        <v>92</v>
      </c>
      <c r="B79" s="28">
        <v>2113825</v>
      </c>
      <c r="C79" s="22">
        <f t="shared" si="0"/>
        <v>2219516.25</v>
      </c>
      <c r="D79" s="22">
        <v>25150</v>
      </c>
      <c r="E79" s="20">
        <f t="shared" si="25"/>
        <v>-155366.13750000001</v>
      </c>
      <c r="F79" s="20">
        <v>0</v>
      </c>
      <c r="G79" s="20">
        <f t="shared" ref="G79:G95" si="33">-(C79*0.07)</f>
        <v>-155366.13750000001</v>
      </c>
      <c r="H79" s="20">
        <v>0</v>
      </c>
      <c r="I79" s="20">
        <v>0</v>
      </c>
      <c r="J79" s="9">
        <v>170148</v>
      </c>
      <c r="K79" s="9">
        <v>20000</v>
      </c>
      <c r="L79" s="9">
        <v>0</v>
      </c>
      <c r="M79" s="9">
        <v>0</v>
      </c>
      <c r="N79" s="9">
        <v>0</v>
      </c>
      <c r="O79" s="9">
        <v>0</v>
      </c>
      <c r="P79" s="9">
        <v>85250</v>
      </c>
      <c r="Q79" s="9">
        <v>0</v>
      </c>
      <c r="R79" s="16">
        <v>0</v>
      </c>
      <c r="S79" s="26">
        <v>15500</v>
      </c>
      <c r="T79" s="33">
        <f t="shared" si="6"/>
        <v>-465</v>
      </c>
      <c r="U79" s="33">
        <v>0</v>
      </c>
      <c r="V79" s="33">
        <v>0</v>
      </c>
      <c r="W79" s="33">
        <v>775</v>
      </c>
      <c r="X79" s="25">
        <v>0</v>
      </c>
      <c r="Y79" s="16">
        <v>15.7</v>
      </c>
      <c r="Z79" s="20">
        <f t="shared" si="1"/>
        <v>4867</v>
      </c>
      <c r="AA79" s="21">
        <v>3100</v>
      </c>
      <c r="AB79" s="21">
        <v>0</v>
      </c>
      <c r="AC79" s="33">
        <v>-775</v>
      </c>
      <c r="AD79" s="27">
        <v>0</v>
      </c>
      <c r="AE79" s="25">
        <f t="shared" si="2"/>
        <v>0</v>
      </c>
      <c r="AF79" s="19">
        <f t="shared" si="32"/>
        <v>2214198.9750000001</v>
      </c>
      <c r="AG79" s="9">
        <f t="shared" si="3"/>
        <v>142.85154677419357</v>
      </c>
      <c r="AH79" s="9">
        <f t="shared" si="4"/>
        <v>11.904295564516131</v>
      </c>
    </row>
    <row r="80" spans="1:34" x14ac:dyDescent="0.25">
      <c r="A80" s="30" t="s">
        <v>93</v>
      </c>
      <c r="B80" s="28">
        <v>2113825</v>
      </c>
      <c r="C80" s="22">
        <f t="shared" si="0"/>
        <v>2219516.25</v>
      </c>
      <c r="D80" s="22">
        <v>25150</v>
      </c>
      <c r="E80" s="20">
        <f t="shared" si="25"/>
        <v>-155366.13750000001</v>
      </c>
      <c r="F80" s="20">
        <v>0</v>
      </c>
      <c r="G80" s="20">
        <f t="shared" si="33"/>
        <v>-155366.13750000001</v>
      </c>
      <c r="H80" s="20">
        <v>0</v>
      </c>
      <c r="I80" s="20">
        <f t="shared" si="8"/>
        <v>-155366.13750000001</v>
      </c>
      <c r="J80" s="9">
        <v>170148</v>
      </c>
      <c r="K80" s="9">
        <v>20000</v>
      </c>
      <c r="L80" s="9">
        <v>0</v>
      </c>
      <c r="M80" s="9">
        <v>0</v>
      </c>
      <c r="N80" s="9">
        <v>0</v>
      </c>
      <c r="O80" s="9">
        <v>0</v>
      </c>
      <c r="P80" s="9">
        <v>85250</v>
      </c>
      <c r="Q80" s="9">
        <v>0</v>
      </c>
      <c r="R80" s="16">
        <v>0</v>
      </c>
      <c r="S80" s="26">
        <v>15500</v>
      </c>
      <c r="T80" s="33">
        <v>0</v>
      </c>
      <c r="U80" s="33">
        <f t="shared" si="9"/>
        <v>-775</v>
      </c>
      <c r="V80" s="33">
        <v>0</v>
      </c>
      <c r="W80" s="33">
        <v>775</v>
      </c>
      <c r="X80" s="25">
        <v>0</v>
      </c>
      <c r="Y80" s="16">
        <v>15.7</v>
      </c>
      <c r="Z80" s="20">
        <f t="shared" si="1"/>
        <v>0</v>
      </c>
      <c r="AA80" s="21">
        <v>3100</v>
      </c>
      <c r="AB80" s="21">
        <v>0</v>
      </c>
      <c r="AC80" s="33">
        <v>-775</v>
      </c>
      <c r="AD80" s="27">
        <v>0</v>
      </c>
      <c r="AE80" s="25">
        <f t="shared" si="2"/>
        <v>0</v>
      </c>
      <c r="AF80" s="19">
        <f t="shared" si="32"/>
        <v>2053965.8375000001</v>
      </c>
      <c r="AG80" s="9">
        <f t="shared" si="3"/>
        <v>132.513925</v>
      </c>
      <c r="AH80" s="9">
        <f t="shared" si="4"/>
        <v>11.042827083333334</v>
      </c>
    </row>
    <row r="81" spans="1:34" x14ac:dyDescent="0.25">
      <c r="A81" s="30" t="s">
        <v>94</v>
      </c>
      <c r="B81" s="28">
        <v>2113825</v>
      </c>
      <c r="C81" s="22">
        <f t="shared" si="0"/>
        <v>2219516.25</v>
      </c>
      <c r="D81" s="22">
        <v>25150</v>
      </c>
      <c r="E81" s="20">
        <f t="shared" si="25"/>
        <v>-155366.13750000001</v>
      </c>
      <c r="F81" s="20">
        <v>0</v>
      </c>
      <c r="G81" s="20">
        <f t="shared" si="33"/>
        <v>-155366.13750000001</v>
      </c>
      <c r="H81" s="20">
        <v>0</v>
      </c>
      <c r="I81" s="20">
        <v>0</v>
      </c>
      <c r="J81" s="9">
        <v>170148</v>
      </c>
      <c r="K81" s="9">
        <v>20000</v>
      </c>
      <c r="L81" s="9">
        <v>0</v>
      </c>
      <c r="M81" s="9">
        <v>0</v>
      </c>
      <c r="N81" s="9">
        <v>0</v>
      </c>
      <c r="O81" s="9">
        <v>0</v>
      </c>
      <c r="P81" s="9">
        <v>85250</v>
      </c>
      <c r="Q81" s="9">
        <v>0</v>
      </c>
      <c r="R81" s="16">
        <v>0</v>
      </c>
      <c r="S81" s="26">
        <v>15500</v>
      </c>
      <c r="T81" s="33">
        <v>0</v>
      </c>
      <c r="U81" s="33">
        <v>0</v>
      </c>
      <c r="V81" s="33">
        <v>0</v>
      </c>
      <c r="W81" s="33">
        <v>775</v>
      </c>
      <c r="X81" s="25">
        <v>0</v>
      </c>
      <c r="Y81" s="16">
        <v>15.7</v>
      </c>
      <c r="Z81" s="20">
        <f t="shared" si="1"/>
        <v>12167.5</v>
      </c>
      <c r="AA81" s="21">
        <v>3100</v>
      </c>
      <c r="AB81" s="21">
        <v>0</v>
      </c>
      <c r="AC81" s="33">
        <v>-775</v>
      </c>
      <c r="AD81" s="27">
        <v>45</v>
      </c>
      <c r="AE81" s="25">
        <f t="shared" si="2"/>
        <v>104625</v>
      </c>
      <c r="AF81" s="19">
        <f t="shared" si="32"/>
        <v>2326124.4750000001</v>
      </c>
      <c r="AG81" s="9">
        <f t="shared" si="3"/>
        <v>150.07254677419354</v>
      </c>
      <c r="AH81" s="9">
        <f t="shared" si="4"/>
        <v>12.506045564516128</v>
      </c>
    </row>
    <row r="82" spans="1:34" x14ac:dyDescent="0.25">
      <c r="A82" s="30" t="s">
        <v>95</v>
      </c>
      <c r="B82" s="28">
        <v>2113825</v>
      </c>
      <c r="C82" s="22">
        <f t="shared" si="0"/>
        <v>2219516.25</v>
      </c>
      <c r="D82" s="22">
        <v>25150</v>
      </c>
      <c r="E82" s="20">
        <f t="shared" si="25"/>
        <v>-155366.13750000001</v>
      </c>
      <c r="F82" s="20">
        <v>0</v>
      </c>
      <c r="G82" s="20">
        <f t="shared" si="33"/>
        <v>-155366.13750000001</v>
      </c>
      <c r="H82" s="20">
        <v>0</v>
      </c>
      <c r="I82" s="20">
        <v>0</v>
      </c>
      <c r="J82" s="9">
        <v>170148</v>
      </c>
      <c r="K82" s="9">
        <v>20000</v>
      </c>
      <c r="L82" s="9">
        <v>0</v>
      </c>
      <c r="M82" s="9">
        <v>0</v>
      </c>
      <c r="N82" s="9">
        <v>0</v>
      </c>
      <c r="O82" s="9">
        <v>0</v>
      </c>
      <c r="P82" s="9">
        <v>85250</v>
      </c>
      <c r="Q82" s="9">
        <v>0</v>
      </c>
      <c r="R82" s="16">
        <v>0</v>
      </c>
      <c r="S82" s="26">
        <v>15500</v>
      </c>
      <c r="T82" s="33">
        <f t="shared" si="6"/>
        <v>-465</v>
      </c>
      <c r="U82" s="33">
        <v>0</v>
      </c>
      <c r="V82" s="33">
        <v>0</v>
      </c>
      <c r="W82" s="33">
        <v>775</v>
      </c>
      <c r="X82" s="25">
        <v>0</v>
      </c>
      <c r="Y82" s="16">
        <v>15.7</v>
      </c>
      <c r="Z82" s="20">
        <f t="shared" si="1"/>
        <v>4867</v>
      </c>
      <c r="AA82" s="21">
        <v>3100</v>
      </c>
      <c r="AB82" s="21">
        <v>0</v>
      </c>
      <c r="AC82" s="33">
        <v>-775</v>
      </c>
      <c r="AD82" s="27">
        <v>45</v>
      </c>
      <c r="AE82" s="25">
        <f t="shared" si="2"/>
        <v>104625</v>
      </c>
      <c r="AF82" s="19">
        <f t="shared" si="32"/>
        <v>2318823.9750000001</v>
      </c>
      <c r="AG82" s="9">
        <f t="shared" si="3"/>
        <v>149.60154677419357</v>
      </c>
      <c r="AH82" s="9">
        <f t="shared" si="4"/>
        <v>12.466795564516131</v>
      </c>
    </row>
    <row r="83" spans="1:34" x14ac:dyDescent="0.25">
      <c r="A83" s="30" t="s">
        <v>96</v>
      </c>
      <c r="B83" s="28">
        <v>2113825</v>
      </c>
      <c r="C83" s="22">
        <f t="shared" si="0"/>
        <v>2219516.25</v>
      </c>
      <c r="D83" s="22">
        <v>25150</v>
      </c>
      <c r="E83" s="20">
        <f t="shared" si="25"/>
        <v>-155366.13750000001</v>
      </c>
      <c r="F83" s="20">
        <v>0</v>
      </c>
      <c r="G83" s="20">
        <f t="shared" si="33"/>
        <v>-155366.13750000001</v>
      </c>
      <c r="H83" s="20">
        <v>0</v>
      </c>
      <c r="I83" s="20">
        <f t="shared" si="8"/>
        <v>-155366.13750000001</v>
      </c>
      <c r="J83" s="9">
        <v>170148</v>
      </c>
      <c r="K83" s="9">
        <v>20000</v>
      </c>
      <c r="L83" s="9">
        <v>0</v>
      </c>
      <c r="M83" s="9">
        <v>0</v>
      </c>
      <c r="N83" s="9">
        <v>0</v>
      </c>
      <c r="O83" s="9">
        <v>0</v>
      </c>
      <c r="P83" s="9">
        <v>85250</v>
      </c>
      <c r="Q83" s="9">
        <v>0</v>
      </c>
      <c r="R83" s="16">
        <v>0</v>
      </c>
      <c r="S83" s="26">
        <v>15500</v>
      </c>
      <c r="T83" s="33">
        <v>0</v>
      </c>
      <c r="U83" s="33">
        <f t="shared" si="9"/>
        <v>-775</v>
      </c>
      <c r="V83" s="33">
        <v>0</v>
      </c>
      <c r="W83" s="33">
        <v>775</v>
      </c>
      <c r="X83" s="25">
        <v>0</v>
      </c>
      <c r="Y83" s="16">
        <v>15.7</v>
      </c>
      <c r="Z83" s="20">
        <f t="shared" si="1"/>
        <v>0</v>
      </c>
      <c r="AA83" s="21">
        <v>3100</v>
      </c>
      <c r="AB83" s="21">
        <v>0</v>
      </c>
      <c r="AC83" s="33">
        <v>-775</v>
      </c>
      <c r="AD83" s="27">
        <v>45</v>
      </c>
      <c r="AE83" s="25">
        <f t="shared" si="2"/>
        <v>104625</v>
      </c>
      <c r="AF83" s="19">
        <f t="shared" si="32"/>
        <v>2158590.8375000004</v>
      </c>
      <c r="AG83" s="9">
        <f t="shared" si="3"/>
        <v>139.26392500000003</v>
      </c>
      <c r="AH83" s="9">
        <f t="shared" si="4"/>
        <v>11.605327083333336</v>
      </c>
    </row>
    <row r="84" spans="1:34" x14ac:dyDescent="0.25">
      <c r="A84" s="30" t="s">
        <v>97</v>
      </c>
      <c r="B84" s="28">
        <v>2113825</v>
      </c>
      <c r="C84" s="22">
        <f t="shared" si="0"/>
        <v>2219516.25</v>
      </c>
      <c r="D84" s="22">
        <v>25150</v>
      </c>
      <c r="E84" s="20">
        <f t="shared" si="25"/>
        <v>-155366.13750000001</v>
      </c>
      <c r="F84" s="20">
        <v>0</v>
      </c>
      <c r="G84" s="20">
        <f t="shared" si="33"/>
        <v>-155366.13750000001</v>
      </c>
      <c r="H84" s="20">
        <v>0</v>
      </c>
      <c r="I84" s="20">
        <v>0</v>
      </c>
      <c r="J84" s="9">
        <v>170148</v>
      </c>
      <c r="K84" s="9">
        <v>20000</v>
      </c>
      <c r="L84" s="9">
        <v>0</v>
      </c>
      <c r="M84" s="9">
        <v>0</v>
      </c>
      <c r="N84" s="9">
        <v>0</v>
      </c>
      <c r="O84" s="9">
        <v>0</v>
      </c>
      <c r="P84" s="9">
        <v>85250</v>
      </c>
      <c r="Q84" s="9">
        <v>0</v>
      </c>
      <c r="R84" s="16">
        <v>0</v>
      </c>
      <c r="S84" s="26">
        <v>15500</v>
      </c>
      <c r="T84" s="33">
        <v>0</v>
      </c>
      <c r="U84" s="33">
        <v>0</v>
      </c>
      <c r="V84" s="33">
        <v>0</v>
      </c>
      <c r="W84" s="33">
        <v>775</v>
      </c>
      <c r="X84" s="25">
        <v>0</v>
      </c>
      <c r="Y84" s="16">
        <v>15.7</v>
      </c>
      <c r="Z84" s="20">
        <f t="shared" si="1"/>
        <v>12167.5</v>
      </c>
      <c r="AA84" s="21">
        <v>3100</v>
      </c>
      <c r="AB84" s="21">
        <v>0</v>
      </c>
      <c r="AC84" s="33">
        <v>-775</v>
      </c>
      <c r="AD84" s="27">
        <v>80</v>
      </c>
      <c r="AE84" s="25">
        <f t="shared" si="2"/>
        <v>186000</v>
      </c>
      <c r="AF84" s="19">
        <f t="shared" si="32"/>
        <v>2407499.4750000001</v>
      </c>
      <c r="AG84" s="9">
        <f t="shared" si="3"/>
        <v>155.32254677419354</v>
      </c>
      <c r="AH84" s="9">
        <f t="shared" si="4"/>
        <v>12.943545564516128</v>
      </c>
    </row>
    <row r="85" spans="1:34" x14ac:dyDescent="0.25">
      <c r="A85" s="30" t="s">
        <v>98</v>
      </c>
      <c r="B85" s="28">
        <v>2113825</v>
      </c>
      <c r="C85" s="22">
        <f t="shared" si="0"/>
        <v>2219516.25</v>
      </c>
      <c r="D85" s="22">
        <v>25150</v>
      </c>
      <c r="E85" s="20">
        <f t="shared" si="25"/>
        <v>-155366.13750000001</v>
      </c>
      <c r="F85" s="20">
        <v>0</v>
      </c>
      <c r="G85" s="20">
        <f t="shared" si="33"/>
        <v>-155366.13750000001</v>
      </c>
      <c r="H85" s="20">
        <v>0</v>
      </c>
      <c r="I85" s="20">
        <v>0</v>
      </c>
      <c r="J85" s="9">
        <v>170148</v>
      </c>
      <c r="K85" s="9">
        <v>20000</v>
      </c>
      <c r="L85" s="9">
        <v>0</v>
      </c>
      <c r="M85" s="9">
        <v>0</v>
      </c>
      <c r="N85" s="9">
        <v>0</v>
      </c>
      <c r="O85" s="9">
        <v>0</v>
      </c>
      <c r="P85" s="9">
        <v>85250</v>
      </c>
      <c r="Q85" s="9">
        <v>0</v>
      </c>
      <c r="R85" s="16">
        <v>0</v>
      </c>
      <c r="S85" s="26">
        <v>15500</v>
      </c>
      <c r="T85" s="33">
        <f t="shared" si="6"/>
        <v>-465</v>
      </c>
      <c r="U85" s="33">
        <v>0</v>
      </c>
      <c r="V85" s="33">
        <v>0</v>
      </c>
      <c r="W85" s="33">
        <v>775</v>
      </c>
      <c r="X85" s="25">
        <v>0</v>
      </c>
      <c r="Y85" s="16">
        <v>15.7</v>
      </c>
      <c r="Z85" s="20">
        <f t="shared" si="1"/>
        <v>4867</v>
      </c>
      <c r="AA85" s="21">
        <v>3100</v>
      </c>
      <c r="AB85" s="21">
        <v>0</v>
      </c>
      <c r="AC85" s="33">
        <v>-775</v>
      </c>
      <c r="AD85" s="27">
        <v>80</v>
      </c>
      <c r="AE85" s="25">
        <f t="shared" si="2"/>
        <v>186000</v>
      </c>
      <c r="AF85" s="19">
        <f t="shared" si="32"/>
        <v>2400198.9750000001</v>
      </c>
      <c r="AG85" s="9">
        <f t="shared" si="3"/>
        <v>154.85154677419357</v>
      </c>
      <c r="AH85" s="9">
        <f t="shared" si="4"/>
        <v>12.904295564516131</v>
      </c>
    </row>
    <row r="86" spans="1:34" x14ac:dyDescent="0.25">
      <c r="A86" s="30" t="s">
        <v>99</v>
      </c>
      <c r="B86" s="28">
        <v>2113825</v>
      </c>
      <c r="C86" s="22">
        <f t="shared" si="0"/>
        <v>2219516.25</v>
      </c>
      <c r="D86" s="22">
        <v>25150</v>
      </c>
      <c r="E86" s="20">
        <f t="shared" si="25"/>
        <v>-155366.13750000001</v>
      </c>
      <c r="F86" s="20">
        <v>0</v>
      </c>
      <c r="G86" s="20">
        <f t="shared" si="33"/>
        <v>-155366.13750000001</v>
      </c>
      <c r="H86" s="20">
        <v>0</v>
      </c>
      <c r="I86" s="20">
        <f t="shared" si="8"/>
        <v>-155366.13750000001</v>
      </c>
      <c r="J86" s="9">
        <v>170148</v>
      </c>
      <c r="K86" s="9">
        <v>20000</v>
      </c>
      <c r="L86" s="9">
        <v>0</v>
      </c>
      <c r="M86" s="9">
        <v>0</v>
      </c>
      <c r="N86" s="9">
        <v>0</v>
      </c>
      <c r="O86" s="9">
        <v>0</v>
      </c>
      <c r="P86" s="9">
        <v>85250</v>
      </c>
      <c r="Q86" s="9">
        <v>0</v>
      </c>
      <c r="R86" s="16">
        <v>0</v>
      </c>
      <c r="S86" s="26">
        <v>15500</v>
      </c>
      <c r="T86" s="33">
        <v>0</v>
      </c>
      <c r="U86" s="33">
        <f t="shared" si="9"/>
        <v>-775</v>
      </c>
      <c r="V86" s="33">
        <v>0</v>
      </c>
      <c r="W86" s="33">
        <v>775</v>
      </c>
      <c r="X86" s="25">
        <v>0</v>
      </c>
      <c r="Y86" s="16">
        <v>15.7</v>
      </c>
      <c r="Z86" s="20">
        <f t="shared" si="1"/>
        <v>0</v>
      </c>
      <c r="AA86" s="21">
        <v>3100</v>
      </c>
      <c r="AB86" s="21">
        <v>0</v>
      </c>
      <c r="AC86" s="33">
        <v>-775</v>
      </c>
      <c r="AD86" s="27">
        <v>80</v>
      </c>
      <c r="AE86" s="25">
        <f t="shared" si="2"/>
        <v>186000</v>
      </c>
      <c r="AF86" s="19">
        <f t="shared" si="32"/>
        <v>2239965.8375000004</v>
      </c>
      <c r="AG86" s="9">
        <f t="shared" si="3"/>
        <v>144.51392500000003</v>
      </c>
      <c r="AH86" s="9">
        <f t="shared" si="4"/>
        <v>12.042827083333336</v>
      </c>
    </row>
    <row r="87" spans="1:34" x14ac:dyDescent="0.25">
      <c r="A87" s="30" t="s">
        <v>169</v>
      </c>
      <c r="B87" s="28">
        <v>2113825</v>
      </c>
      <c r="C87" s="22">
        <f t="shared" si="0"/>
        <v>2219516.25</v>
      </c>
      <c r="D87" s="22">
        <v>25150</v>
      </c>
      <c r="E87" s="20">
        <f t="shared" si="25"/>
        <v>-155366.13750000001</v>
      </c>
      <c r="F87" s="20">
        <v>0</v>
      </c>
      <c r="G87" s="20">
        <f t="shared" si="33"/>
        <v>-155366.13750000001</v>
      </c>
      <c r="H87" s="20">
        <v>0</v>
      </c>
      <c r="I87" s="20">
        <v>0</v>
      </c>
      <c r="J87" s="9">
        <v>170148</v>
      </c>
      <c r="K87" s="9">
        <v>20000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f t="shared" si="28"/>
        <v>82654</v>
      </c>
      <c r="R87" s="16">
        <v>0</v>
      </c>
      <c r="S87" s="26">
        <v>15028</v>
      </c>
      <c r="T87" s="33">
        <v>0</v>
      </c>
      <c r="U87" s="33">
        <v>0</v>
      </c>
      <c r="V87" s="33">
        <v>0</v>
      </c>
      <c r="W87" s="33">
        <v>751.5</v>
      </c>
      <c r="X87" s="25">
        <v>0</v>
      </c>
      <c r="Y87" s="16">
        <v>15.7</v>
      </c>
      <c r="Z87" s="20">
        <f t="shared" si="1"/>
        <v>11798.55</v>
      </c>
      <c r="AA87" s="21">
        <v>3006</v>
      </c>
      <c r="AB87" s="21">
        <v>0</v>
      </c>
      <c r="AC87" s="33">
        <f>-(3006*0.25)</f>
        <v>-751.5</v>
      </c>
      <c r="AD87" s="27">
        <v>0</v>
      </c>
      <c r="AE87" s="25">
        <f t="shared" si="2"/>
        <v>0</v>
      </c>
      <c r="AF87" s="19">
        <f t="shared" si="32"/>
        <v>2218534.5249999999</v>
      </c>
      <c r="AG87" s="9">
        <f t="shared" si="3"/>
        <v>143.13125967741934</v>
      </c>
      <c r="AH87" s="9">
        <f t="shared" si="4"/>
        <v>11.927604973118278</v>
      </c>
    </row>
    <row r="88" spans="1:34" x14ac:dyDescent="0.25">
      <c r="A88" s="30" t="s">
        <v>170</v>
      </c>
      <c r="B88" s="28">
        <v>2113825</v>
      </c>
      <c r="C88" s="22">
        <f t="shared" ref="C88:C95" si="34">B88+(B88*0.05)</f>
        <v>2219516.25</v>
      </c>
      <c r="D88" s="22">
        <v>25150</v>
      </c>
      <c r="E88" s="20">
        <f t="shared" si="25"/>
        <v>-155366.13750000001</v>
      </c>
      <c r="F88" s="20">
        <v>0</v>
      </c>
      <c r="G88" s="20">
        <f t="shared" si="33"/>
        <v>-155366.13750000001</v>
      </c>
      <c r="H88" s="20">
        <v>0</v>
      </c>
      <c r="I88" s="20">
        <v>0</v>
      </c>
      <c r="J88" s="9">
        <v>170148</v>
      </c>
      <c r="K88" s="9">
        <v>20000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f t="shared" si="28"/>
        <v>82654</v>
      </c>
      <c r="R88" s="16">
        <v>0</v>
      </c>
      <c r="S88" s="26">
        <v>15028</v>
      </c>
      <c r="T88" s="33">
        <f t="shared" ref="T88:T94" si="35">-(15028*0.03)</f>
        <v>-450.84</v>
      </c>
      <c r="U88" s="33">
        <v>0</v>
      </c>
      <c r="V88" s="33">
        <v>0</v>
      </c>
      <c r="W88" s="33">
        <v>751.5</v>
      </c>
      <c r="X88" s="25">
        <v>0</v>
      </c>
      <c r="Y88" s="16">
        <v>15.7</v>
      </c>
      <c r="Z88" s="20">
        <f t="shared" si="1"/>
        <v>4720.3620000000001</v>
      </c>
      <c r="AA88" s="21">
        <v>3006</v>
      </c>
      <c r="AB88" s="21">
        <v>0</v>
      </c>
      <c r="AC88" s="33">
        <f t="shared" ref="AC88:AC95" si="36">-(3006*0.25)</f>
        <v>-751.5</v>
      </c>
      <c r="AD88" s="27">
        <v>0</v>
      </c>
      <c r="AE88" s="25">
        <f t="shared" si="2"/>
        <v>0</v>
      </c>
      <c r="AF88" s="19">
        <f t="shared" si="32"/>
        <v>2211456.3370000003</v>
      </c>
      <c r="AG88" s="9">
        <f t="shared" si="3"/>
        <v>142.6746023870968</v>
      </c>
      <c r="AH88" s="9">
        <f t="shared" si="4"/>
        <v>11.889550198924733</v>
      </c>
    </row>
    <row r="89" spans="1:34" x14ac:dyDescent="0.25">
      <c r="A89" s="30" t="s">
        <v>171</v>
      </c>
      <c r="B89" s="28">
        <v>2113825</v>
      </c>
      <c r="C89" s="22">
        <f t="shared" si="34"/>
        <v>2219516.25</v>
      </c>
      <c r="D89" s="22">
        <v>25150</v>
      </c>
      <c r="E89" s="20">
        <f t="shared" si="25"/>
        <v>-155366.13750000001</v>
      </c>
      <c r="F89" s="20">
        <v>0</v>
      </c>
      <c r="G89" s="20">
        <f t="shared" si="33"/>
        <v>-155366.13750000001</v>
      </c>
      <c r="H89" s="20">
        <v>0</v>
      </c>
      <c r="I89" s="20">
        <f t="shared" ref="I89:I95" si="37">-(C89*0.07)</f>
        <v>-155366.13750000001</v>
      </c>
      <c r="J89" s="9">
        <v>170148</v>
      </c>
      <c r="K89" s="9">
        <v>20000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f t="shared" si="28"/>
        <v>82654</v>
      </c>
      <c r="R89" s="16">
        <v>0</v>
      </c>
      <c r="S89" s="26">
        <v>15028</v>
      </c>
      <c r="T89" s="33">
        <v>0</v>
      </c>
      <c r="U89" s="33">
        <f t="shared" ref="U89:U95" si="38">-(15028*0.05)</f>
        <v>-751.40000000000009</v>
      </c>
      <c r="V89" s="33">
        <v>0</v>
      </c>
      <c r="W89" s="33">
        <v>751.5</v>
      </c>
      <c r="X89" s="25">
        <v>0</v>
      </c>
      <c r="Y89" s="16">
        <v>15.7</v>
      </c>
      <c r="Z89" s="20">
        <f t="shared" si="1"/>
        <v>1.5699999999985721</v>
      </c>
      <c r="AA89" s="21">
        <v>3006</v>
      </c>
      <c r="AB89" s="21">
        <v>0</v>
      </c>
      <c r="AC89" s="33">
        <f t="shared" si="36"/>
        <v>-751.5</v>
      </c>
      <c r="AD89" s="27">
        <v>0</v>
      </c>
      <c r="AE89" s="25">
        <f t="shared" si="2"/>
        <v>0</v>
      </c>
      <c r="AF89" s="19">
        <f t="shared" si="32"/>
        <v>2051371.4075000002</v>
      </c>
      <c r="AG89" s="9">
        <f t="shared" si="3"/>
        <v>132.34654241935485</v>
      </c>
      <c r="AH89" s="9">
        <f t="shared" si="4"/>
        <v>11.028878534946237</v>
      </c>
    </row>
    <row r="90" spans="1:34" x14ac:dyDescent="0.25">
      <c r="A90" s="30" t="s">
        <v>172</v>
      </c>
      <c r="B90" s="28">
        <v>2113825</v>
      </c>
      <c r="C90" s="22">
        <f t="shared" si="34"/>
        <v>2219516.25</v>
      </c>
      <c r="D90" s="22">
        <v>25150</v>
      </c>
      <c r="E90" s="20">
        <f t="shared" si="25"/>
        <v>-155366.13750000001</v>
      </c>
      <c r="F90" s="20">
        <v>0</v>
      </c>
      <c r="G90" s="20">
        <f t="shared" si="33"/>
        <v>-155366.13750000001</v>
      </c>
      <c r="H90" s="20">
        <v>0</v>
      </c>
      <c r="I90" s="20">
        <v>0</v>
      </c>
      <c r="J90" s="9">
        <v>170148</v>
      </c>
      <c r="K90" s="9">
        <v>20000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f t="shared" si="28"/>
        <v>82654</v>
      </c>
      <c r="R90" s="16">
        <v>0</v>
      </c>
      <c r="S90" s="26">
        <v>15028</v>
      </c>
      <c r="T90" s="33">
        <v>0</v>
      </c>
      <c r="U90" s="33">
        <v>0</v>
      </c>
      <c r="V90" s="33">
        <v>0</v>
      </c>
      <c r="W90" s="33">
        <v>751.5</v>
      </c>
      <c r="X90" s="25">
        <v>0</v>
      </c>
      <c r="Y90" s="16">
        <v>15.7</v>
      </c>
      <c r="Z90" s="20">
        <f t="shared" si="1"/>
        <v>11798.55</v>
      </c>
      <c r="AA90" s="21">
        <v>3006</v>
      </c>
      <c r="AB90" s="21">
        <v>0</v>
      </c>
      <c r="AC90" s="33">
        <f t="shared" si="36"/>
        <v>-751.5</v>
      </c>
      <c r="AD90" s="27">
        <v>45</v>
      </c>
      <c r="AE90" s="25">
        <f t="shared" si="2"/>
        <v>101452.5</v>
      </c>
      <c r="AF90" s="19">
        <f t="shared" si="32"/>
        <v>2319987.0249999999</v>
      </c>
      <c r="AG90" s="9">
        <f t="shared" si="3"/>
        <v>149.67658225806451</v>
      </c>
      <c r="AH90" s="9">
        <f t="shared" si="4"/>
        <v>12.473048521505376</v>
      </c>
    </row>
    <row r="91" spans="1:34" x14ac:dyDescent="0.25">
      <c r="A91" s="30" t="s">
        <v>173</v>
      </c>
      <c r="B91" s="28">
        <v>2113825</v>
      </c>
      <c r="C91" s="22">
        <f t="shared" si="34"/>
        <v>2219516.25</v>
      </c>
      <c r="D91" s="22">
        <v>25150</v>
      </c>
      <c r="E91" s="20">
        <f t="shared" si="25"/>
        <v>-155366.13750000001</v>
      </c>
      <c r="F91" s="20">
        <v>0</v>
      </c>
      <c r="G91" s="20">
        <f t="shared" si="33"/>
        <v>-155366.13750000001</v>
      </c>
      <c r="H91" s="20">
        <v>0</v>
      </c>
      <c r="I91" s="20">
        <v>0</v>
      </c>
      <c r="J91" s="9">
        <v>170148</v>
      </c>
      <c r="K91" s="9">
        <v>20000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f t="shared" si="28"/>
        <v>82654</v>
      </c>
      <c r="R91" s="16">
        <v>0</v>
      </c>
      <c r="S91" s="26">
        <v>15028</v>
      </c>
      <c r="T91" s="33">
        <f t="shared" si="35"/>
        <v>-450.84</v>
      </c>
      <c r="U91" s="33">
        <v>0</v>
      </c>
      <c r="V91" s="33">
        <v>0</v>
      </c>
      <c r="W91" s="33">
        <v>751.5</v>
      </c>
      <c r="X91" s="25">
        <v>0</v>
      </c>
      <c r="Y91" s="16">
        <v>15.7</v>
      </c>
      <c r="Z91" s="20">
        <f t="shared" si="1"/>
        <v>4720.3620000000001</v>
      </c>
      <c r="AA91" s="21">
        <v>3006</v>
      </c>
      <c r="AB91" s="21">
        <v>0</v>
      </c>
      <c r="AC91" s="33">
        <f t="shared" si="36"/>
        <v>-751.5</v>
      </c>
      <c r="AD91" s="27">
        <v>45</v>
      </c>
      <c r="AE91" s="25">
        <f t="shared" si="2"/>
        <v>101452.5</v>
      </c>
      <c r="AF91" s="19">
        <f t="shared" si="32"/>
        <v>2312908.8370000003</v>
      </c>
      <c r="AG91" s="9">
        <f t="shared" si="3"/>
        <v>149.21992496774195</v>
      </c>
      <c r="AH91" s="9">
        <f t="shared" si="4"/>
        <v>12.434993747311829</v>
      </c>
    </row>
    <row r="92" spans="1:34" x14ac:dyDescent="0.25">
      <c r="A92" s="30" t="s">
        <v>174</v>
      </c>
      <c r="B92" s="28">
        <v>2113825</v>
      </c>
      <c r="C92" s="22">
        <f t="shared" si="34"/>
        <v>2219516.25</v>
      </c>
      <c r="D92" s="22">
        <v>25150</v>
      </c>
      <c r="E92" s="20">
        <f t="shared" si="25"/>
        <v>-155366.13750000001</v>
      </c>
      <c r="F92" s="20">
        <v>0</v>
      </c>
      <c r="G92" s="20">
        <f t="shared" si="33"/>
        <v>-155366.13750000001</v>
      </c>
      <c r="H92" s="20">
        <v>0</v>
      </c>
      <c r="I92" s="20">
        <f t="shared" si="37"/>
        <v>-155366.13750000001</v>
      </c>
      <c r="J92" s="9">
        <v>170148</v>
      </c>
      <c r="K92" s="9">
        <v>20000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f t="shared" si="28"/>
        <v>82654</v>
      </c>
      <c r="R92" s="16">
        <v>0</v>
      </c>
      <c r="S92" s="26">
        <v>15028</v>
      </c>
      <c r="T92" s="33">
        <v>0</v>
      </c>
      <c r="U92" s="33">
        <f t="shared" si="38"/>
        <v>-751.40000000000009</v>
      </c>
      <c r="V92" s="33">
        <v>0</v>
      </c>
      <c r="W92" s="33">
        <v>751.5</v>
      </c>
      <c r="X92" s="25">
        <v>0</v>
      </c>
      <c r="Y92" s="16">
        <v>15.7</v>
      </c>
      <c r="Z92" s="20">
        <f t="shared" si="1"/>
        <v>1.5699999999985721</v>
      </c>
      <c r="AA92" s="21">
        <v>3006</v>
      </c>
      <c r="AB92" s="21">
        <v>0</v>
      </c>
      <c r="AC92" s="33">
        <f t="shared" si="36"/>
        <v>-751.5</v>
      </c>
      <c r="AD92" s="27">
        <v>45</v>
      </c>
      <c r="AE92" s="25">
        <f t="shared" si="2"/>
        <v>101452.5</v>
      </c>
      <c r="AF92" s="19">
        <f t="shared" si="32"/>
        <v>2152823.9075000002</v>
      </c>
      <c r="AG92" s="9">
        <f t="shared" si="3"/>
        <v>138.89186500000002</v>
      </c>
      <c r="AH92" s="9">
        <f t="shared" si="4"/>
        <v>11.574322083333335</v>
      </c>
    </row>
    <row r="93" spans="1:34" x14ac:dyDescent="0.25">
      <c r="A93" s="30" t="s">
        <v>175</v>
      </c>
      <c r="B93" s="28">
        <v>2113825</v>
      </c>
      <c r="C93" s="22">
        <f t="shared" si="34"/>
        <v>2219516.25</v>
      </c>
      <c r="D93" s="22">
        <v>25150</v>
      </c>
      <c r="E93" s="20">
        <f t="shared" si="25"/>
        <v>-155366.13750000001</v>
      </c>
      <c r="F93" s="20">
        <v>0</v>
      </c>
      <c r="G93" s="20">
        <f t="shared" si="33"/>
        <v>-155366.13750000001</v>
      </c>
      <c r="H93" s="20">
        <v>0</v>
      </c>
      <c r="I93" s="20">
        <v>0</v>
      </c>
      <c r="J93" s="9">
        <v>170148</v>
      </c>
      <c r="K93" s="9">
        <v>20000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f t="shared" si="28"/>
        <v>82654</v>
      </c>
      <c r="R93" s="16">
        <v>0</v>
      </c>
      <c r="S93" s="26">
        <v>15028</v>
      </c>
      <c r="T93" s="33">
        <v>0</v>
      </c>
      <c r="U93" s="33">
        <v>0</v>
      </c>
      <c r="V93" s="33">
        <v>0</v>
      </c>
      <c r="W93" s="33">
        <v>751.5</v>
      </c>
      <c r="X93" s="25">
        <v>0</v>
      </c>
      <c r="Y93" s="16">
        <v>15.7</v>
      </c>
      <c r="Z93" s="20">
        <f t="shared" si="1"/>
        <v>11798.55</v>
      </c>
      <c r="AA93" s="21">
        <v>3006</v>
      </c>
      <c r="AB93" s="21">
        <v>0</v>
      </c>
      <c r="AC93" s="33">
        <f t="shared" si="36"/>
        <v>-751.5</v>
      </c>
      <c r="AD93" s="27">
        <v>80</v>
      </c>
      <c r="AE93" s="25">
        <f t="shared" si="2"/>
        <v>180360</v>
      </c>
      <c r="AF93" s="19">
        <f t="shared" si="32"/>
        <v>2398894.5249999999</v>
      </c>
      <c r="AG93" s="9">
        <f t="shared" si="3"/>
        <v>154.76738870967742</v>
      </c>
      <c r="AH93" s="9">
        <f t="shared" si="4"/>
        <v>12.897282392473118</v>
      </c>
    </row>
    <row r="94" spans="1:34" x14ac:dyDescent="0.25">
      <c r="A94" s="30" t="s">
        <v>176</v>
      </c>
      <c r="B94" s="28">
        <v>2113825</v>
      </c>
      <c r="C94" s="22">
        <f t="shared" si="34"/>
        <v>2219516.25</v>
      </c>
      <c r="D94" s="22">
        <v>25150</v>
      </c>
      <c r="E94" s="20">
        <f t="shared" si="25"/>
        <v>-155366.13750000001</v>
      </c>
      <c r="F94" s="20">
        <v>0</v>
      </c>
      <c r="G94" s="20">
        <f t="shared" si="33"/>
        <v>-155366.13750000001</v>
      </c>
      <c r="H94" s="20">
        <v>0</v>
      </c>
      <c r="I94" s="20">
        <v>0</v>
      </c>
      <c r="J94" s="9">
        <v>170148</v>
      </c>
      <c r="K94" s="9">
        <v>20000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f t="shared" si="28"/>
        <v>82654</v>
      </c>
      <c r="R94" s="16">
        <v>0</v>
      </c>
      <c r="S94" s="26">
        <v>15028</v>
      </c>
      <c r="T94" s="33">
        <f t="shared" si="35"/>
        <v>-450.84</v>
      </c>
      <c r="U94" s="33">
        <v>0</v>
      </c>
      <c r="V94" s="33">
        <v>0</v>
      </c>
      <c r="W94" s="33">
        <v>751.5</v>
      </c>
      <c r="X94" s="25">
        <v>0</v>
      </c>
      <c r="Y94" s="16">
        <v>15.7</v>
      </c>
      <c r="Z94" s="20">
        <f t="shared" si="1"/>
        <v>4720.3620000000001</v>
      </c>
      <c r="AA94" s="21">
        <v>3006</v>
      </c>
      <c r="AB94" s="21">
        <v>0</v>
      </c>
      <c r="AC94" s="33">
        <f t="shared" si="36"/>
        <v>-751.5</v>
      </c>
      <c r="AD94" s="27">
        <v>80</v>
      </c>
      <c r="AE94" s="25">
        <f t="shared" si="2"/>
        <v>180360</v>
      </c>
      <c r="AF94" s="19">
        <f t="shared" si="32"/>
        <v>2391816.3370000003</v>
      </c>
      <c r="AG94" s="9">
        <f t="shared" si="3"/>
        <v>154.31073141935485</v>
      </c>
      <c r="AH94" s="9">
        <f t="shared" si="4"/>
        <v>12.85922761827957</v>
      </c>
    </row>
    <row r="95" spans="1:34" x14ac:dyDescent="0.25">
      <c r="A95" s="30" t="s">
        <v>177</v>
      </c>
      <c r="B95" s="28">
        <v>2113825</v>
      </c>
      <c r="C95" s="22">
        <f t="shared" si="34"/>
        <v>2219516.25</v>
      </c>
      <c r="D95" s="22">
        <v>25150</v>
      </c>
      <c r="E95" s="20">
        <f t="shared" si="25"/>
        <v>-155366.13750000001</v>
      </c>
      <c r="F95" s="20">
        <v>0</v>
      </c>
      <c r="G95" s="20">
        <f t="shared" si="33"/>
        <v>-155366.13750000001</v>
      </c>
      <c r="H95" s="20">
        <v>0</v>
      </c>
      <c r="I95" s="20">
        <f t="shared" si="37"/>
        <v>-155366.13750000001</v>
      </c>
      <c r="J95" s="9">
        <v>170148</v>
      </c>
      <c r="K95" s="9">
        <v>20000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f t="shared" si="28"/>
        <v>82654</v>
      </c>
      <c r="R95" s="16">
        <v>0</v>
      </c>
      <c r="S95" s="26">
        <v>15028</v>
      </c>
      <c r="T95" s="33">
        <v>0</v>
      </c>
      <c r="U95" s="33">
        <f t="shared" si="38"/>
        <v>-751.40000000000009</v>
      </c>
      <c r="V95" s="33">
        <v>0</v>
      </c>
      <c r="W95" s="33">
        <v>751.5</v>
      </c>
      <c r="X95" s="25">
        <v>0</v>
      </c>
      <c r="Y95" s="16">
        <v>15.7</v>
      </c>
      <c r="Z95" s="20">
        <f t="shared" si="1"/>
        <v>1.5699999999985721</v>
      </c>
      <c r="AA95" s="21">
        <v>3006</v>
      </c>
      <c r="AB95" s="21">
        <v>0</v>
      </c>
      <c r="AC95" s="33">
        <f t="shared" si="36"/>
        <v>-751.5</v>
      </c>
      <c r="AD95" s="27">
        <v>80</v>
      </c>
      <c r="AE95" s="25">
        <f t="shared" si="2"/>
        <v>180360</v>
      </c>
      <c r="AF95" s="19">
        <f t="shared" si="32"/>
        <v>2231731.4075000002</v>
      </c>
      <c r="AG95" s="9">
        <f t="shared" si="3"/>
        <v>143.98267145161293</v>
      </c>
      <c r="AH95" s="9">
        <f t="shared" si="4"/>
        <v>11.998555954301077</v>
      </c>
    </row>
    <row r="96" spans="1:34" x14ac:dyDescent="0.25">
      <c r="A96" s="31" t="s">
        <v>53</v>
      </c>
      <c r="B96" s="27">
        <v>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0">
        <v>0</v>
      </c>
      <c r="I96" s="25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/>
      <c r="R96" s="16">
        <f>9.07*12</f>
        <v>108.84</v>
      </c>
      <c r="S96" s="26">
        <v>15500</v>
      </c>
      <c r="T96" s="33">
        <v>0</v>
      </c>
      <c r="U96" s="33">
        <v>0</v>
      </c>
      <c r="V96" s="33">
        <v>-93</v>
      </c>
      <c r="W96" s="33">
        <v>0</v>
      </c>
      <c r="X96" s="9">
        <f>R96*15500</f>
        <v>1687020</v>
      </c>
      <c r="Y96" s="16">
        <v>45.45</v>
      </c>
      <c r="Z96" s="20">
        <f>(S96+T96+U96+V96+W96)*Y96</f>
        <v>700248.15</v>
      </c>
      <c r="AA96" s="21">
        <v>3100</v>
      </c>
      <c r="AB96" s="21">
        <f t="shared" si="14"/>
        <v>93</v>
      </c>
      <c r="AC96" s="33">
        <v>0</v>
      </c>
      <c r="AD96" s="27">
        <v>80</v>
      </c>
      <c r="AE96" s="25">
        <f t="shared" si="2"/>
        <v>255440</v>
      </c>
      <c r="AF96" s="19">
        <f t="shared" ref="AF71:AF98" si="39">C96+E96+F96+G96+H96+I96+J96+K96+L96+M96+N96+O96+P96+Q96+X96+Z96+AE96</f>
        <v>2642708.15</v>
      </c>
      <c r="AG96" s="9">
        <f t="shared" si="3"/>
        <v>170.4973</v>
      </c>
      <c r="AH96" s="9">
        <f t="shared" si="4"/>
        <v>14.208108333333334</v>
      </c>
    </row>
    <row r="97" spans="1:34" x14ac:dyDescent="0.25">
      <c r="A97" s="31" t="s">
        <v>57</v>
      </c>
      <c r="B97" s="27">
        <v>0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  <c r="H97" s="20">
        <v>0</v>
      </c>
      <c r="I97" s="25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/>
      <c r="R97" s="16" t="s">
        <v>79</v>
      </c>
      <c r="S97" s="26">
        <v>15500</v>
      </c>
      <c r="T97" s="33">
        <v>0</v>
      </c>
      <c r="U97" s="33">
        <v>0</v>
      </c>
      <c r="V97" s="33">
        <v>-93</v>
      </c>
      <c r="W97" s="33">
        <v>0</v>
      </c>
      <c r="X97" s="9">
        <f>(13175*207)+(2325*173.4)</f>
        <v>3130380</v>
      </c>
      <c r="Y97" s="16">
        <v>0</v>
      </c>
      <c r="Z97" s="20">
        <f t="shared" ref="Z97:Z98" si="40">(S97+T97+U97+V97+W97)*Y97</f>
        <v>0</v>
      </c>
      <c r="AA97" s="21">
        <v>3100</v>
      </c>
      <c r="AB97" s="21">
        <f t="shared" si="14"/>
        <v>93</v>
      </c>
      <c r="AC97" s="33">
        <v>0</v>
      </c>
      <c r="AD97" s="27">
        <v>0</v>
      </c>
      <c r="AE97" s="25">
        <f t="shared" si="2"/>
        <v>0</v>
      </c>
      <c r="AF97" s="19">
        <f t="shared" si="39"/>
        <v>3130380</v>
      </c>
      <c r="AG97" s="9">
        <f t="shared" si="3"/>
        <v>201.96</v>
      </c>
      <c r="AH97" s="9">
        <f t="shared" si="4"/>
        <v>16.830000000000002</v>
      </c>
    </row>
    <row r="98" spans="1:34" x14ac:dyDescent="0.25">
      <c r="A98" s="31" t="s">
        <v>58</v>
      </c>
      <c r="B98" s="27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0">
        <v>0</v>
      </c>
      <c r="I98" s="25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/>
      <c r="R98" s="16">
        <f>10.57*12</f>
        <v>126.84</v>
      </c>
      <c r="S98" s="26">
        <v>15500</v>
      </c>
      <c r="T98" s="33">
        <v>0</v>
      </c>
      <c r="U98" s="33">
        <v>0</v>
      </c>
      <c r="V98" s="33">
        <v>-93</v>
      </c>
      <c r="W98" s="33">
        <v>0</v>
      </c>
      <c r="X98" s="9">
        <f>R98*15500</f>
        <v>1966020</v>
      </c>
      <c r="Y98" s="16">
        <v>44.56</v>
      </c>
      <c r="Z98" s="20">
        <f t="shared" si="40"/>
        <v>686535.92</v>
      </c>
      <c r="AA98" s="21">
        <v>3100</v>
      </c>
      <c r="AB98" s="21">
        <f t="shared" si="14"/>
        <v>93</v>
      </c>
      <c r="AC98" s="33">
        <v>0</v>
      </c>
      <c r="AD98" s="27">
        <v>80</v>
      </c>
      <c r="AE98" s="25">
        <f t="shared" si="2"/>
        <v>255440</v>
      </c>
      <c r="AF98" s="19">
        <f t="shared" si="39"/>
        <v>2907995.92</v>
      </c>
      <c r="AG98" s="9">
        <f t="shared" si="3"/>
        <v>187.61264</v>
      </c>
      <c r="AH98" s="9">
        <f t="shared" si="4"/>
        <v>15.634386666666666</v>
      </c>
    </row>
  </sheetData>
  <mergeCells count="1">
    <mergeCell ref="A1:AH1"/>
  </mergeCells>
  <pageMargins left="0.7" right="0.7" top="0.75" bottom="0.75" header="0.3" footer="0.3"/>
  <pageSetup paperSize="17" scale="4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8"/>
  <sheetViews>
    <sheetView topLeftCell="A40" workbookViewId="0">
      <pane xSplit="1" topLeftCell="B1" activePane="topRight" state="frozen"/>
      <selection pane="topRight" activeCell="D59" sqref="D59"/>
    </sheetView>
  </sheetViews>
  <sheetFormatPr defaultRowHeight="15" x14ac:dyDescent="0.25"/>
  <cols>
    <col min="1" max="1" width="133.5703125" bestFit="1" customWidth="1"/>
    <col min="2" max="4" width="24" customWidth="1"/>
    <col min="5" max="9" width="31.140625" customWidth="1"/>
    <col min="10" max="10" width="22.28515625" customWidth="1"/>
    <col min="11" max="11" width="27.5703125" customWidth="1"/>
    <col min="12" max="13" width="28.85546875" customWidth="1"/>
    <col min="14" max="17" width="27.5703125" customWidth="1"/>
    <col min="18" max="18" width="27.28515625" customWidth="1"/>
    <col min="19" max="24" width="23.5703125" customWidth="1"/>
    <col min="25" max="26" width="19.42578125" customWidth="1"/>
    <col min="27" max="29" width="23.85546875" customWidth="1"/>
    <col min="30" max="31" width="20.28515625" customWidth="1"/>
    <col min="32" max="33" width="20.7109375" customWidth="1"/>
    <col min="34" max="34" width="22.28515625" customWidth="1"/>
  </cols>
  <sheetData>
    <row r="1" spans="1:34" ht="15.75" thickBot="1" x14ac:dyDescent="0.3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ht="15.75" thickTop="1" x14ac:dyDescent="0.25"/>
    <row r="3" spans="1:34" x14ac:dyDescent="0.25">
      <c r="A3" s="1" t="s">
        <v>66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AD3" s="3"/>
      <c r="AE3" s="3"/>
      <c r="AF3" s="3"/>
      <c r="AG3" s="3"/>
    </row>
    <row r="5" spans="1:34" ht="111.75" customHeight="1" x14ac:dyDescent="0.25">
      <c r="A5" s="23" t="s">
        <v>50</v>
      </c>
      <c r="B5" s="23" t="s">
        <v>45</v>
      </c>
      <c r="C5" s="24" t="s">
        <v>62</v>
      </c>
      <c r="D5" s="24" t="s">
        <v>183</v>
      </c>
      <c r="E5" s="24" t="s">
        <v>67</v>
      </c>
      <c r="F5" s="24" t="s">
        <v>63</v>
      </c>
      <c r="G5" s="24" t="s">
        <v>101</v>
      </c>
      <c r="H5" s="24" t="s">
        <v>88</v>
      </c>
      <c r="I5" s="24" t="s">
        <v>85</v>
      </c>
      <c r="J5" s="24" t="s">
        <v>47</v>
      </c>
      <c r="K5" s="24" t="s">
        <v>61</v>
      </c>
      <c r="L5" s="24" t="s">
        <v>68</v>
      </c>
      <c r="M5" s="24" t="s">
        <v>138</v>
      </c>
      <c r="N5" s="24" t="s">
        <v>60</v>
      </c>
      <c r="O5" s="24" t="s">
        <v>148</v>
      </c>
      <c r="P5" s="24" t="s">
        <v>64</v>
      </c>
      <c r="Q5" s="24" t="s">
        <v>158</v>
      </c>
      <c r="R5" s="24" t="s">
        <v>78</v>
      </c>
      <c r="S5" s="23" t="s">
        <v>51</v>
      </c>
      <c r="T5" s="23" t="s">
        <v>83</v>
      </c>
      <c r="U5" s="23" t="s">
        <v>84</v>
      </c>
      <c r="V5" s="23" t="s">
        <v>87</v>
      </c>
      <c r="W5" s="23" t="s">
        <v>90</v>
      </c>
      <c r="X5" s="23" t="s">
        <v>55</v>
      </c>
      <c r="Y5" s="23" t="s">
        <v>48</v>
      </c>
      <c r="Z5" s="23" t="s">
        <v>56</v>
      </c>
      <c r="AA5" s="23" t="s">
        <v>52</v>
      </c>
      <c r="AB5" s="23" t="s">
        <v>86</v>
      </c>
      <c r="AC5" s="23" t="s">
        <v>89</v>
      </c>
      <c r="AD5" s="23" t="s">
        <v>49</v>
      </c>
      <c r="AE5" s="23" t="s">
        <v>54</v>
      </c>
      <c r="AF5" s="23" t="s">
        <v>69</v>
      </c>
      <c r="AG5" s="23" t="s">
        <v>72</v>
      </c>
      <c r="AH5" s="23" t="s">
        <v>73</v>
      </c>
    </row>
    <row r="6" spans="1:34" x14ac:dyDescent="0.25">
      <c r="A6" s="29" t="s">
        <v>122</v>
      </c>
      <c r="B6" s="28">
        <v>2113825</v>
      </c>
      <c r="C6" s="22">
        <f>B6+(B6*0.05)</f>
        <v>2219516.25</v>
      </c>
      <c r="D6" s="22">
        <v>25150</v>
      </c>
      <c r="E6" s="22">
        <v>0</v>
      </c>
      <c r="F6" s="20">
        <v>0</v>
      </c>
      <c r="G6" s="20">
        <v>0</v>
      </c>
      <c r="H6" s="20">
        <f>-(C6*0.11)</f>
        <v>-244146.78750000001</v>
      </c>
      <c r="I6" s="20">
        <f>-(C6*0.07)</f>
        <v>-155366.13750000001</v>
      </c>
      <c r="J6" s="9">
        <v>170148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16">
        <v>0</v>
      </c>
      <c r="S6" s="26">
        <v>15500</v>
      </c>
      <c r="T6" s="33">
        <v>0</v>
      </c>
      <c r="U6" s="33">
        <f>-(15500*0.05)</f>
        <v>-775</v>
      </c>
      <c r="V6" s="33">
        <v>0</v>
      </c>
      <c r="W6" s="33">
        <v>775</v>
      </c>
      <c r="X6" s="25">
        <v>0</v>
      </c>
      <c r="Y6" s="16">
        <v>15.7</v>
      </c>
      <c r="Z6" s="20">
        <f>(T6+U6+V6+W6)*Y6</f>
        <v>0</v>
      </c>
      <c r="AA6" s="21">
        <v>3100</v>
      </c>
      <c r="AB6" s="21">
        <v>0</v>
      </c>
      <c r="AC6" s="33">
        <f>-(AA6*0.25)</f>
        <v>-775</v>
      </c>
      <c r="AD6" s="27">
        <v>0</v>
      </c>
      <c r="AE6" s="25">
        <f>(AA6+AB6+AC6)*AD6</f>
        <v>0</v>
      </c>
      <c r="AF6" s="19">
        <f>C6+D6+E6+F6+G6+H6+I6+J6+K6+L6+M6+N6+O6+P6+Q6+X6+Z6+AE6</f>
        <v>2015301.325</v>
      </c>
      <c r="AG6" s="9">
        <f>AF6/15500</f>
        <v>130.01944032258064</v>
      </c>
      <c r="AH6" s="9">
        <f>AG6/12</f>
        <v>10.834953360215053</v>
      </c>
    </row>
    <row r="7" spans="1:34" x14ac:dyDescent="0.25">
      <c r="A7" s="29" t="s">
        <v>151</v>
      </c>
      <c r="B7" s="28">
        <v>2113825</v>
      </c>
      <c r="C7" s="22">
        <f>B7+(B7*0.05)</f>
        <v>2219516.25</v>
      </c>
      <c r="D7" s="22">
        <v>25150</v>
      </c>
      <c r="E7" s="22">
        <v>0</v>
      </c>
      <c r="F7" s="20">
        <v>0</v>
      </c>
      <c r="G7" s="20">
        <v>0</v>
      </c>
      <c r="H7" s="20">
        <f>-(C7*0.11)</f>
        <v>-244146.78750000001</v>
      </c>
      <c r="I7" s="20">
        <f>-(C7*0.07)</f>
        <v>-155366.13750000001</v>
      </c>
      <c r="J7" s="9">
        <v>170148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16">
        <v>0</v>
      </c>
      <c r="S7" s="26">
        <v>15028</v>
      </c>
      <c r="T7" s="33">
        <v>0</v>
      </c>
      <c r="U7" s="33">
        <f>-(15028*0.05)</f>
        <v>-751.40000000000009</v>
      </c>
      <c r="V7" s="33">
        <v>0</v>
      </c>
      <c r="W7" s="33">
        <v>751.5</v>
      </c>
      <c r="X7" s="25">
        <v>0</v>
      </c>
      <c r="Y7" s="16">
        <v>15.7</v>
      </c>
      <c r="Z7" s="20">
        <f>(T7+U7+V7+W7)*Y7</f>
        <v>1.5699999999985721</v>
      </c>
      <c r="AA7" s="21">
        <v>3006</v>
      </c>
      <c r="AB7" s="21">
        <v>0</v>
      </c>
      <c r="AC7" s="33">
        <f>-(3006*0.25)</f>
        <v>-751.5</v>
      </c>
      <c r="AD7" s="27">
        <v>0</v>
      </c>
      <c r="AE7" s="25">
        <f>(AA7+AB7+AC7)*AD7</f>
        <v>0</v>
      </c>
      <c r="AF7" s="19">
        <f>C7+D7+E7+F7+G7+H7+I7+J7+K7+L7+M7+N7+O7+P7+Q7+X7+Z7+AE7</f>
        <v>2015302.895</v>
      </c>
      <c r="AG7" s="9">
        <f>AF7/15500</f>
        <v>130.01954161290323</v>
      </c>
      <c r="AH7" s="9">
        <f>AG7/12</f>
        <v>10.834961801075268</v>
      </c>
    </row>
    <row r="8" spans="1:34" x14ac:dyDescent="0.25">
      <c r="A8" s="30" t="s">
        <v>171</v>
      </c>
      <c r="B8" s="28">
        <v>2113825</v>
      </c>
      <c r="C8" s="22">
        <f>B8+(B8*0.05)</f>
        <v>2219516.25</v>
      </c>
      <c r="D8" s="22">
        <v>25150</v>
      </c>
      <c r="E8" s="20">
        <f>-(C8*0.07)</f>
        <v>-155366.13750000001</v>
      </c>
      <c r="F8" s="20">
        <v>0</v>
      </c>
      <c r="G8" s="20">
        <f>-(C8*0.07)</f>
        <v>-155366.13750000001</v>
      </c>
      <c r="H8" s="20">
        <v>0</v>
      </c>
      <c r="I8" s="20">
        <f>-(C8*0.07)</f>
        <v>-155366.13750000001</v>
      </c>
      <c r="J8" s="9">
        <v>170148</v>
      </c>
      <c r="K8" s="9">
        <v>20000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f>15028*55/10</f>
        <v>82654</v>
      </c>
      <c r="R8" s="16">
        <v>0</v>
      </c>
      <c r="S8" s="26">
        <v>15028</v>
      </c>
      <c r="T8" s="33">
        <v>0</v>
      </c>
      <c r="U8" s="33">
        <f>-(15028*0.05)</f>
        <v>-751.40000000000009</v>
      </c>
      <c r="V8" s="33">
        <v>0</v>
      </c>
      <c r="W8" s="33">
        <v>751.5</v>
      </c>
      <c r="X8" s="25">
        <v>0</v>
      </c>
      <c r="Y8" s="16">
        <v>15.7</v>
      </c>
      <c r="Z8" s="20">
        <f>(T8+U8+V8+W8)*Y8</f>
        <v>1.5699999999985721</v>
      </c>
      <c r="AA8" s="21">
        <v>3006</v>
      </c>
      <c r="AB8" s="21">
        <v>0</v>
      </c>
      <c r="AC8" s="33">
        <f>-(3006*0.25)</f>
        <v>-751.5</v>
      </c>
      <c r="AD8" s="27">
        <v>0</v>
      </c>
      <c r="AE8" s="25">
        <f>(AA8+AB8+AC8)*AD8</f>
        <v>0</v>
      </c>
      <c r="AF8" s="19">
        <f>C8+D8+E8+F8+G8+H8+I8+J8+K8+L8+M8+N8+O8+P8+Q8+X8+Z8+AE8</f>
        <v>2051371.4075000002</v>
      </c>
      <c r="AG8" s="9">
        <f>AF8/15500</f>
        <v>132.34654241935485</v>
      </c>
      <c r="AH8" s="9">
        <f>AG8/12</f>
        <v>11.028878534946237</v>
      </c>
    </row>
    <row r="9" spans="1:34" x14ac:dyDescent="0.25">
      <c r="A9" s="30" t="s">
        <v>93</v>
      </c>
      <c r="B9" s="28">
        <v>2113825</v>
      </c>
      <c r="C9" s="22">
        <f>B9+(B9*0.05)</f>
        <v>2219516.25</v>
      </c>
      <c r="D9" s="22">
        <v>25150</v>
      </c>
      <c r="E9" s="20">
        <f>-(C9*0.07)</f>
        <v>-155366.13750000001</v>
      </c>
      <c r="F9" s="20">
        <v>0</v>
      </c>
      <c r="G9" s="20">
        <f>-(C9*0.07)</f>
        <v>-155366.13750000001</v>
      </c>
      <c r="H9" s="20">
        <v>0</v>
      </c>
      <c r="I9" s="20">
        <f>-(C9*0.07)</f>
        <v>-155366.13750000001</v>
      </c>
      <c r="J9" s="9">
        <v>170148</v>
      </c>
      <c r="K9" s="9">
        <v>20000</v>
      </c>
      <c r="L9" s="9">
        <v>0</v>
      </c>
      <c r="M9" s="9">
        <v>0</v>
      </c>
      <c r="N9" s="9">
        <v>0</v>
      </c>
      <c r="O9" s="9">
        <v>0</v>
      </c>
      <c r="P9" s="9">
        <v>85250</v>
      </c>
      <c r="Q9" s="9">
        <v>0</v>
      </c>
      <c r="R9" s="16">
        <v>0</v>
      </c>
      <c r="S9" s="26">
        <v>15500</v>
      </c>
      <c r="T9" s="33">
        <v>0</v>
      </c>
      <c r="U9" s="33">
        <f>-(15500*0.05)</f>
        <v>-775</v>
      </c>
      <c r="V9" s="33">
        <v>0</v>
      </c>
      <c r="W9" s="33">
        <v>775</v>
      </c>
      <c r="X9" s="25">
        <v>0</v>
      </c>
      <c r="Y9" s="16">
        <v>15.7</v>
      </c>
      <c r="Z9" s="20">
        <f>(T9+U9+V9+W9)*Y9</f>
        <v>0</v>
      </c>
      <c r="AA9" s="21">
        <v>3100</v>
      </c>
      <c r="AB9" s="21">
        <v>0</v>
      </c>
      <c r="AC9" s="33">
        <v>-775</v>
      </c>
      <c r="AD9" s="27">
        <v>0</v>
      </c>
      <c r="AE9" s="25">
        <f>(AA9+AB9+AC9)*AD9</f>
        <v>0</v>
      </c>
      <c r="AF9" s="19">
        <f>C9+D9+E9+F9+G9+H9+I9+J9+K9+L9+M9+N9+O9+P9+Q9+X9+Z9+AE9</f>
        <v>2053965.8375000001</v>
      </c>
      <c r="AG9" s="9">
        <f>AF9/15500</f>
        <v>132.513925</v>
      </c>
      <c r="AH9" s="9">
        <f>AG9/12</f>
        <v>11.042827083333334</v>
      </c>
    </row>
    <row r="10" spans="1:34" x14ac:dyDescent="0.25">
      <c r="A10" s="29" t="s">
        <v>154</v>
      </c>
      <c r="B10" s="28">
        <v>2113825</v>
      </c>
      <c r="C10" s="22">
        <f>B10+(B10*0.05)</f>
        <v>2219516.25</v>
      </c>
      <c r="D10" s="22">
        <v>25150</v>
      </c>
      <c r="E10" s="22">
        <v>0</v>
      </c>
      <c r="F10" s="20">
        <v>0</v>
      </c>
      <c r="G10" s="20">
        <v>0</v>
      </c>
      <c r="H10" s="20">
        <f>-(C10*0.11)</f>
        <v>-244146.78750000001</v>
      </c>
      <c r="I10" s="20">
        <f>-(C10*0.07)</f>
        <v>-155366.13750000001</v>
      </c>
      <c r="J10" s="9">
        <v>170148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16">
        <v>0</v>
      </c>
      <c r="S10" s="26">
        <v>15028</v>
      </c>
      <c r="T10" s="33">
        <v>0</v>
      </c>
      <c r="U10" s="33">
        <f>-(15028*0.05)</f>
        <v>-751.40000000000009</v>
      </c>
      <c r="V10" s="33">
        <v>0</v>
      </c>
      <c r="W10" s="33">
        <v>751.5</v>
      </c>
      <c r="X10" s="25">
        <v>0</v>
      </c>
      <c r="Y10" s="16">
        <v>15.7</v>
      </c>
      <c r="Z10" s="20">
        <f>(T10+U10+V10+W10)*Y10</f>
        <v>1.5699999999985721</v>
      </c>
      <c r="AA10" s="21">
        <v>3006</v>
      </c>
      <c r="AB10" s="21">
        <v>0</v>
      </c>
      <c r="AC10" s="33">
        <f>-(3006*0.25)</f>
        <v>-751.5</v>
      </c>
      <c r="AD10" s="27">
        <v>45</v>
      </c>
      <c r="AE10" s="25">
        <f>(AA10+AB10+AC10)*AD10</f>
        <v>101452.5</v>
      </c>
      <c r="AF10" s="19">
        <f>C10+D10+E10+F10+G10+H10+I10+J10+K10+L10+M10+N10+O10+P10+Q10+X10+Z10+AE10</f>
        <v>2116755.395</v>
      </c>
      <c r="AG10" s="9">
        <f>AF10/15500</f>
        <v>136.5648641935484</v>
      </c>
      <c r="AH10" s="9">
        <f>AG10/12</f>
        <v>11.380405349462366</v>
      </c>
    </row>
    <row r="11" spans="1:34" x14ac:dyDescent="0.25">
      <c r="A11" s="29" t="s">
        <v>125</v>
      </c>
      <c r="B11" s="28">
        <v>2113825</v>
      </c>
      <c r="C11" s="22">
        <f>B11+(B11*0.05)</f>
        <v>2219516.25</v>
      </c>
      <c r="D11" s="22">
        <v>25150</v>
      </c>
      <c r="E11" s="22">
        <v>0</v>
      </c>
      <c r="F11" s="20">
        <v>0</v>
      </c>
      <c r="G11" s="20">
        <v>0</v>
      </c>
      <c r="H11" s="20">
        <f>-(C11*0.11)</f>
        <v>-244146.78750000001</v>
      </c>
      <c r="I11" s="20">
        <f>-(C11*0.07)</f>
        <v>-155366.13750000001</v>
      </c>
      <c r="J11" s="9">
        <v>170148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16">
        <v>0</v>
      </c>
      <c r="S11" s="26">
        <v>15500</v>
      </c>
      <c r="T11" s="33">
        <v>0</v>
      </c>
      <c r="U11" s="33">
        <f>-(15500*0.05)</f>
        <v>-775</v>
      </c>
      <c r="V11" s="33">
        <v>0</v>
      </c>
      <c r="W11" s="33">
        <v>775</v>
      </c>
      <c r="X11" s="25">
        <v>0</v>
      </c>
      <c r="Y11" s="16">
        <v>15.7</v>
      </c>
      <c r="Z11" s="20">
        <f>(T11+U11+V11+W11)*Y11</f>
        <v>0</v>
      </c>
      <c r="AA11" s="21">
        <v>3100</v>
      </c>
      <c r="AB11" s="21">
        <v>0</v>
      </c>
      <c r="AC11" s="33">
        <f>-(AA11*0.25)</f>
        <v>-775</v>
      </c>
      <c r="AD11" s="27">
        <v>45</v>
      </c>
      <c r="AE11" s="25">
        <f>(AA11+AB11+AC11)*AD11</f>
        <v>104625</v>
      </c>
      <c r="AF11" s="19">
        <f>C11+D11+E11+F11+G11+H11+I11+J11+K11+L11+M11+N11+O11+P11+Q11+X11+Z11+AE11</f>
        <v>2119926.3250000002</v>
      </c>
      <c r="AG11" s="9">
        <f>AF11/15500</f>
        <v>136.76944032258066</v>
      </c>
      <c r="AH11" s="9">
        <f>AG11/12</f>
        <v>11.397453360215055</v>
      </c>
    </row>
    <row r="12" spans="1:34" x14ac:dyDescent="0.25">
      <c r="A12" s="30" t="s">
        <v>174</v>
      </c>
      <c r="B12" s="28">
        <v>2113825</v>
      </c>
      <c r="C12" s="22">
        <f>B12+(B12*0.05)</f>
        <v>2219516.25</v>
      </c>
      <c r="D12" s="22">
        <v>25150</v>
      </c>
      <c r="E12" s="20">
        <f>-(C12*0.07)</f>
        <v>-155366.13750000001</v>
      </c>
      <c r="F12" s="20">
        <v>0</v>
      </c>
      <c r="G12" s="20">
        <f>-(C12*0.07)</f>
        <v>-155366.13750000001</v>
      </c>
      <c r="H12" s="20">
        <v>0</v>
      </c>
      <c r="I12" s="20">
        <f>-(C12*0.07)</f>
        <v>-155366.13750000001</v>
      </c>
      <c r="J12" s="9">
        <v>170148</v>
      </c>
      <c r="K12" s="9">
        <v>20000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f>15028*55/10</f>
        <v>82654</v>
      </c>
      <c r="R12" s="16">
        <v>0</v>
      </c>
      <c r="S12" s="26">
        <v>15028</v>
      </c>
      <c r="T12" s="33">
        <v>0</v>
      </c>
      <c r="U12" s="33">
        <f>-(15028*0.05)</f>
        <v>-751.40000000000009</v>
      </c>
      <c r="V12" s="33">
        <v>0</v>
      </c>
      <c r="W12" s="33">
        <v>751.5</v>
      </c>
      <c r="X12" s="25">
        <v>0</v>
      </c>
      <c r="Y12" s="16">
        <v>15.7</v>
      </c>
      <c r="Z12" s="20">
        <f>(T12+U12+V12+W12)*Y12</f>
        <v>1.5699999999985721</v>
      </c>
      <c r="AA12" s="21">
        <v>3006</v>
      </c>
      <c r="AB12" s="21">
        <v>0</v>
      </c>
      <c r="AC12" s="33">
        <f>-(3006*0.25)</f>
        <v>-751.5</v>
      </c>
      <c r="AD12" s="27">
        <v>45</v>
      </c>
      <c r="AE12" s="25">
        <f>(AA12+AB12+AC12)*AD12</f>
        <v>101452.5</v>
      </c>
      <c r="AF12" s="19">
        <f>C12+D12+E12+F12+G12+H12+I12+J12+K12+L12+M12+N12+O12+P12+Q12+X12+Z12+AE12</f>
        <v>2152823.9075000002</v>
      </c>
      <c r="AG12" s="9">
        <f>AF12/15500</f>
        <v>138.89186500000002</v>
      </c>
      <c r="AH12" s="9">
        <f>AG12/12</f>
        <v>11.574322083333335</v>
      </c>
    </row>
    <row r="13" spans="1:34" x14ac:dyDescent="0.25">
      <c r="A13" s="30" t="s">
        <v>96</v>
      </c>
      <c r="B13" s="28">
        <v>2113825</v>
      </c>
      <c r="C13" s="22">
        <f>B13+(B13*0.05)</f>
        <v>2219516.25</v>
      </c>
      <c r="D13" s="22">
        <v>25150</v>
      </c>
      <c r="E13" s="20">
        <f>-(C13*0.07)</f>
        <v>-155366.13750000001</v>
      </c>
      <c r="F13" s="20">
        <v>0</v>
      </c>
      <c r="G13" s="20">
        <f>-(C13*0.07)</f>
        <v>-155366.13750000001</v>
      </c>
      <c r="H13" s="20">
        <v>0</v>
      </c>
      <c r="I13" s="20">
        <f>-(C13*0.07)</f>
        <v>-155366.13750000001</v>
      </c>
      <c r="J13" s="9">
        <v>170148</v>
      </c>
      <c r="K13" s="9">
        <v>20000</v>
      </c>
      <c r="L13" s="9">
        <v>0</v>
      </c>
      <c r="M13" s="9">
        <v>0</v>
      </c>
      <c r="N13" s="9">
        <v>0</v>
      </c>
      <c r="O13" s="9">
        <v>0</v>
      </c>
      <c r="P13" s="9">
        <v>85250</v>
      </c>
      <c r="Q13" s="9">
        <v>0</v>
      </c>
      <c r="R13" s="16">
        <v>0</v>
      </c>
      <c r="S13" s="26">
        <v>15500</v>
      </c>
      <c r="T13" s="33">
        <v>0</v>
      </c>
      <c r="U13" s="33">
        <f>-(15500*0.05)</f>
        <v>-775</v>
      </c>
      <c r="V13" s="33">
        <v>0</v>
      </c>
      <c r="W13" s="33">
        <v>775</v>
      </c>
      <c r="X13" s="25">
        <v>0</v>
      </c>
      <c r="Y13" s="16">
        <v>15.7</v>
      </c>
      <c r="Z13" s="20">
        <f>(T13+U13+V13+W13)*Y13</f>
        <v>0</v>
      </c>
      <c r="AA13" s="21">
        <v>3100</v>
      </c>
      <c r="AB13" s="21">
        <v>0</v>
      </c>
      <c r="AC13" s="33">
        <v>-775</v>
      </c>
      <c r="AD13" s="27">
        <v>45</v>
      </c>
      <c r="AE13" s="25">
        <f>(AA13+AB13+AC13)*AD13</f>
        <v>104625</v>
      </c>
      <c r="AF13" s="19">
        <f>C13+D13+E13+F13+G13+H13+I13+J13+K13+L13+M13+N13+O13+P13+Q13+X13+Z13+AE13</f>
        <v>2158590.8375000004</v>
      </c>
      <c r="AG13" s="9">
        <f>AF13/15500</f>
        <v>139.26392500000003</v>
      </c>
      <c r="AH13" s="9">
        <f>AG13/12</f>
        <v>11.605327083333336</v>
      </c>
    </row>
    <row r="14" spans="1:34" x14ac:dyDescent="0.25">
      <c r="A14" s="29" t="s">
        <v>150</v>
      </c>
      <c r="B14" s="28">
        <v>2113825</v>
      </c>
      <c r="C14" s="22">
        <f>B14+(B14*0.05)</f>
        <v>2219516.25</v>
      </c>
      <c r="D14" s="22">
        <v>25150</v>
      </c>
      <c r="E14" s="22">
        <v>0</v>
      </c>
      <c r="F14" s="20">
        <v>0</v>
      </c>
      <c r="G14" s="20">
        <v>0</v>
      </c>
      <c r="H14" s="20">
        <f>-(C14*0.11)</f>
        <v>-244146.78750000001</v>
      </c>
      <c r="I14" s="20">
        <v>0</v>
      </c>
      <c r="J14" s="9">
        <v>170148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16">
        <v>0</v>
      </c>
      <c r="S14" s="26">
        <v>15028</v>
      </c>
      <c r="T14" s="33">
        <f>-(15028*0.03)</f>
        <v>-450.84</v>
      </c>
      <c r="U14" s="33">
        <v>0</v>
      </c>
      <c r="V14" s="33">
        <v>0</v>
      </c>
      <c r="W14" s="33">
        <v>751.5</v>
      </c>
      <c r="X14" s="25">
        <v>0</v>
      </c>
      <c r="Y14" s="16">
        <v>15.7</v>
      </c>
      <c r="Z14" s="20">
        <f>(T14+U14+V14+W14)*Y14</f>
        <v>4720.3620000000001</v>
      </c>
      <c r="AA14" s="21">
        <v>3006</v>
      </c>
      <c r="AB14" s="21">
        <v>0</v>
      </c>
      <c r="AC14" s="33">
        <f>-(3006*0.25)</f>
        <v>-751.5</v>
      </c>
      <c r="AD14" s="27">
        <v>0</v>
      </c>
      <c r="AE14" s="25">
        <f>(AA14+AB14+AC14)*AD14</f>
        <v>0</v>
      </c>
      <c r="AF14" s="19">
        <f>C14+D14+E14+F14+G14+H14+I14+J14+K14+L14+M14+N14+O14+P14+Q14+X14+Z14+AE14</f>
        <v>2175387.8245000001</v>
      </c>
      <c r="AG14" s="9">
        <f>AF14/15500</f>
        <v>140.34760158064518</v>
      </c>
      <c r="AH14" s="9">
        <f>AG14/12</f>
        <v>11.695633465053765</v>
      </c>
    </row>
    <row r="15" spans="1:34" x14ac:dyDescent="0.25">
      <c r="A15" s="29" t="s">
        <v>121</v>
      </c>
      <c r="B15" s="28">
        <v>2113825</v>
      </c>
      <c r="C15" s="22">
        <f>B15+(B15*0.05)</f>
        <v>2219516.25</v>
      </c>
      <c r="D15" s="22">
        <v>25150</v>
      </c>
      <c r="E15" s="22">
        <v>0</v>
      </c>
      <c r="F15" s="20">
        <v>0</v>
      </c>
      <c r="G15" s="20">
        <v>0</v>
      </c>
      <c r="H15" s="20">
        <f>-(C15*0.11)</f>
        <v>-244146.78750000001</v>
      </c>
      <c r="I15" s="20">
        <v>0</v>
      </c>
      <c r="J15" s="9">
        <v>170148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6">
        <v>0</v>
      </c>
      <c r="S15" s="26">
        <v>15500</v>
      </c>
      <c r="T15" s="33">
        <f>-(S15*0.03)</f>
        <v>-465</v>
      </c>
      <c r="U15" s="33">
        <v>0</v>
      </c>
      <c r="V15" s="33">
        <v>0</v>
      </c>
      <c r="W15" s="33">
        <v>775</v>
      </c>
      <c r="X15" s="25">
        <v>0</v>
      </c>
      <c r="Y15" s="16">
        <v>15.7</v>
      </c>
      <c r="Z15" s="20">
        <f>(T15+U15+V15+W15)*Y15</f>
        <v>4867</v>
      </c>
      <c r="AA15" s="21">
        <v>3100</v>
      </c>
      <c r="AB15" s="21">
        <v>0</v>
      </c>
      <c r="AC15" s="33">
        <f>-(AA15*0.25)</f>
        <v>-775</v>
      </c>
      <c r="AD15" s="27">
        <v>0</v>
      </c>
      <c r="AE15" s="25">
        <f>(AA15+AB15+AC15)*AD15</f>
        <v>0</v>
      </c>
      <c r="AF15" s="19">
        <f>C15+D15+E15+F15+G15+H15+I15+J15+K15+L15+M15+N15+O15+P15+Q15+X15+Z15+AE15</f>
        <v>2175534.4624999999</v>
      </c>
      <c r="AG15" s="9">
        <f>AF15/15500</f>
        <v>140.3570620967742</v>
      </c>
      <c r="AH15" s="9">
        <f>AG15/12</f>
        <v>11.69642184139785</v>
      </c>
    </row>
    <row r="16" spans="1:34" x14ac:dyDescent="0.25">
      <c r="A16" s="29" t="s">
        <v>149</v>
      </c>
      <c r="B16" s="28">
        <v>2113825</v>
      </c>
      <c r="C16" s="22">
        <f>B16+(B16*0.05)</f>
        <v>2219516.25</v>
      </c>
      <c r="D16" s="22">
        <v>25150</v>
      </c>
      <c r="E16" s="22">
        <v>0</v>
      </c>
      <c r="F16" s="20">
        <v>0</v>
      </c>
      <c r="G16" s="20">
        <v>0</v>
      </c>
      <c r="H16" s="20">
        <f>-(C16*0.11)</f>
        <v>-244146.78750000001</v>
      </c>
      <c r="I16" s="20">
        <v>0</v>
      </c>
      <c r="J16" s="9">
        <v>170148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16">
        <v>0</v>
      </c>
      <c r="S16" s="26">
        <v>15028</v>
      </c>
      <c r="T16" s="33">
        <v>0</v>
      </c>
      <c r="U16" s="33">
        <v>0</v>
      </c>
      <c r="V16" s="33">
        <v>0</v>
      </c>
      <c r="W16" s="33">
        <v>751.5</v>
      </c>
      <c r="X16" s="25">
        <v>0</v>
      </c>
      <c r="Y16" s="16">
        <v>15.7</v>
      </c>
      <c r="Z16" s="20">
        <f>(T16+U16+V16+W16)*Y16</f>
        <v>11798.55</v>
      </c>
      <c r="AA16" s="21">
        <v>3006</v>
      </c>
      <c r="AB16" s="21">
        <v>0</v>
      </c>
      <c r="AC16" s="33">
        <f>-(3006*0.25)</f>
        <v>-751.5</v>
      </c>
      <c r="AD16" s="27">
        <v>0</v>
      </c>
      <c r="AE16" s="25">
        <f>(AA16+AB16+AC16)*AD16</f>
        <v>0</v>
      </c>
      <c r="AF16" s="19">
        <f>C16+D16+E16+F16+G16+H16+I16+J16+K16+L16+M16+N16+O16+P16+Q16+X16+Z16+AE16</f>
        <v>2182466.0124999997</v>
      </c>
      <c r="AG16" s="9">
        <f>AF16/15500</f>
        <v>140.80425887096771</v>
      </c>
      <c r="AH16" s="9">
        <f>AG16/12</f>
        <v>11.733688239247309</v>
      </c>
    </row>
    <row r="17" spans="1:34" x14ac:dyDescent="0.25">
      <c r="A17" s="29" t="s">
        <v>120</v>
      </c>
      <c r="B17" s="28">
        <v>2113825</v>
      </c>
      <c r="C17" s="22">
        <f>B17+(B17*0.05)</f>
        <v>2219516.25</v>
      </c>
      <c r="D17" s="22">
        <v>25150</v>
      </c>
      <c r="E17" s="22">
        <v>0</v>
      </c>
      <c r="F17" s="20">
        <v>0</v>
      </c>
      <c r="G17" s="20">
        <v>0</v>
      </c>
      <c r="H17" s="20">
        <f>-(C17*0.11)</f>
        <v>-244146.78750000001</v>
      </c>
      <c r="I17" s="20">
        <v>0</v>
      </c>
      <c r="J17" s="9">
        <v>170148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6">
        <v>0</v>
      </c>
      <c r="S17" s="26">
        <v>15500</v>
      </c>
      <c r="T17" s="33">
        <v>0</v>
      </c>
      <c r="U17" s="33">
        <v>0</v>
      </c>
      <c r="V17" s="33">
        <v>0</v>
      </c>
      <c r="W17" s="33">
        <v>775</v>
      </c>
      <c r="X17" s="25">
        <v>0</v>
      </c>
      <c r="Y17" s="16">
        <v>15.7</v>
      </c>
      <c r="Z17" s="20">
        <f>(T17+U17+V17+W17)*Y17</f>
        <v>12167.5</v>
      </c>
      <c r="AA17" s="21">
        <v>3100</v>
      </c>
      <c r="AB17" s="21">
        <v>0</v>
      </c>
      <c r="AC17" s="33">
        <f>-(AA17*0.25)</f>
        <v>-775</v>
      </c>
      <c r="AD17" s="27">
        <v>0</v>
      </c>
      <c r="AE17" s="25">
        <f>(AA17+AB17+AC17)*AD17</f>
        <v>0</v>
      </c>
      <c r="AF17" s="19">
        <f>C17+D17+E17+F17+G17+H17+I17+J17+K17+L17+M17+N17+O17+P17+Q17+X17+Z17+AE17</f>
        <v>2182834.9624999999</v>
      </c>
      <c r="AG17" s="9">
        <f>AF17/15500</f>
        <v>140.82806209677418</v>
      </c>
      <c r="AH17" s="9">
        <f>AG17/12</f>
        <v>11.735671841397847</v>
      </c>
    </row>
    <row r="18" spans="1:34" x14ac:dyDescent="0.25">
      <c r="A18" s="29" t="s">
        <v>157</v>
      </c>
      <c r="B18" s="28">
        <v>2113825</v>
      </c>
      <c r="C18" s="22">
        <f>B18+(B18*0.05)</f>
        <v>2219516.25</v>
      </c>
      <c r="D18" s="22">
        <v>25150</v>
      </c>
      <c r="E18" s="22">
        <v>0</v>
      </c>
      <c r="F18" s="20">
        <v>0</v>
      </c>
      <c r="G18" s="20">
        <v>0</v>
      </c>
      <c r="H18" s="20">
        <f>-(C18*0.11)</f>
        <v>-244146.78750000001</v>
      </c>
      <c r="I18" s="20">
        <f>-(C18*0.07)</f>
        <v>-155366.13750000001</v>
      </c>
      <c r="J18" s="9">
        <v>170148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16">
        <v>0</v>
      </c>
      <c r="S18" s="26">
        <v>15028</v>
      </c>
      <c r="T18" s="33">
        <v>0</v>
      </c>
      <c r="U18" s="33">
        <f>-(15028*0.05)</f>
        <v>-751.40000000000009</v>
      </c>
      <c r="V18" s="33">
        <v>0</v>
      </c>
      <c r="W18" s="33">
        <v>751.5</v>
      </c>
      <c r="X18" s="25">
        <v>0</v>
      </c>
      <c r="Y18" s="16">
        <v>15.7</v>
      </c>
      <c r="Z18" s="20">
        <f>(T18+U18+V18+W18)*Y18</f>
        <v>1.5699999999985721</v>
      </c>
      <c r="AA18" s="21">
        <v>3006</v>
      </c>
      <c r="AB18" s="21">
        <v>0</v>
      </c>
      <c r="AC18" s="33">
        <f>-(3006*0.25)</f>
        <v>-751.5</v>
      </c>
      <c r="AD18" s="27">
        <v>80</v>
      </c>
      <c r="AE18" s="25">
        <f>(AA18+AB18+AC18)*AD18</f>
        <v>180360</v>
      </c>
      <c r="AF18" s="19">
        <f>C18+D18+E18+F18+G18+H18+I18+J18+K18+L18+M18+N18+O18+P18+Q18+X18+Z18+AE18</f>
        <v>2195662.895</v>
      </c>
      <c r="AG18" s="9">
        <f>AF18/15500</f>
        <v>141.65567064516128</v>
      </c>
      <c r="AH18" s="9">
        <f>AG18/12</f>
        <v>11.804639220430106</v>
      </c>
    </row>
    <row r="19" spans="1:34" x14ac:dyDescent="0.25">
      <c r="A19" s="29" t="s">
        <v>128</v>
      </c>
      <c r="B19" s="28">
        <v>2113825</v>
      </c>
      <c r="C19" s="22">
        <f>B19+(B19*0.05)</f>
        <v>2219516.25</v>
      </c>
      <c r="D19" s="22">
        <v>25150</v>
      </c>
      <c r="E19" s="22">
        <v>0</v>
      </c>
      <c r="F19" s="20">
        <v>0</v>
      </c>
      <c r="G19" s="20">
        <v>0</v>
      </c>
      <c r="H19" s="20">
        <f>-(C19*0.11)</f>
        <v>-244146.78750000001</v>
      </c>
      <c r="I19" s="20">
        <f>-(C19*0.07)</f>
        <v>-155366.13750000001</v>
      </c>
      <c r="J19" s="9">
        <v>170148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16">
        <v>0</v>
      </c>
      <c r="S19" s="26">
        <v>15500</v>
      </c>
      <c r="T19" s="33">
        <v>0</v>
      </c>
      <c r="U19" s="33">
        <f>-(15500*0.05)</f>
        <v>-775</v>
      </c>
      <c r="V19" s="33">
        <v>0</v>
      </c>
      <c r="W19" s="33">
        <v>775</v>
      </c>
      <c r="X19" s="25">
        <v>0</v>
      </c>
      <c r="Y19" s="16">
        <v>15.7</v>
      </c>
      <c r="Z19" s="20">
        <f>(T19+U19+V19+W19)*Y19</f>
        <v>0</v>
      </c>
      <c r="AA19" s="21">
        <v>3100</v>
      </c>
      <c r="AB19" s="21">
        <v>0</v>
      </c>
      <c r="AC19" s="33">
        <f>-(AA19*0.25)</f>
        <v>-775</v>
      </c>
      <c r="AD19" s="27">
        <v>80</v>
      </c>
      <c r="AE19" s="25">
        <f>(AA19+AB19+AC19)*AD19</f>
        <v>186000</v>
      </c>
      <c r="AF19" s="19">
        <f>C19+D19+E19+F19+G19+H19+I19+J19+K19+L19+M19+N19+O19+P19+Q19+X19+Z19+AE19</f>
        <v>2201301.3250000002</v>
      </c>
      <c r="AG19" s="9">
        <f>AF19/15500</f>
        <v>142.01944032258066</v>
      </c>
      <c r="AH19" s="9">
        <f>AG19/12</f>
        <v>11.834953360215055</v>
      </c>
    </row>
    <row r="20" spans="1:34" x14ac:dyDescent="0.25">
      <c r="A20" s="30" t="s">
        <v>170</v>
      </c>
      <c r="B20" s="28">
        <v>2113825</v>
      </c>
      <c r="C20" s="22">
        <f>B20+(B20*0.05)</f>
        <v>2219516.25</v>
      </c>
      <c r="D20" s="22">
        <v>25150</v>
      </c>
      <c r="E20" s="20">
        <f>-(C20*0.07)</f>
        <v>-155366.13750000001</v>
      </c>
      <c r="F20" s="20">
        <v>0</v>
      </c>
      <c r="G20" s="20">
        <f>-(C20*0.07)</f>
        <v>-155366.13750000001</v>
      </c>
      <c r="H20" s="20">
        <v>0</v>
      </c>
      <c r="I20" s="20">
        <v>0</v>
      </c>
      <c r="J20" s="9">
        <v>170148</v>
      </c>
      <c r="K20" s="9">
        <v>20000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f>15028*55/10</f>
        <v>82654</v>
      </c>
      <c r="R20" s="16">
        <v>0</v>
      </c>
      <c r="S20" s="26">
        <v>15028</v>
      </c>
      <c r="T20" s="33">
        <f>-(15028*0.03)</f>
        <v>-450.84</v>
      </c>
      <c r="U20" s="33">
        <v>0</v>
      </c>
      <c r="V20" s="33">
        <v>0</v>
      </c>
      <c r="W20" s="33">
        <v>751.5</v>
      </c>
      <c r="X20" s="25">
        <v>0</v>
      </c>
      <c r="Y20" s="16">
        <v>15.7</v>
      </c>
      <c r="Z20" s="20">
        <f>(T20+U20+V20+W20)*Y20</f>
        <v>4720.3620000000001</v>
      </c>
      <c r="AA20" s="21">
        <v>3006</v>
      </c>
      <c r="AB20" s="21">
        <v>0</v>
      </c>
      <c r="AC20" s="33">
        <f>-(3006*0.25)</f>
        <v>-751.5</v>
      </c>
      <c r="AD20" s="27">
        <v>0</v>
      </c>
      <c r="AE20" s="25">
        <f>(AA20+AB20+AC20)*AD20</f>
        <v>0</v>
      </c>
      <c r="AF20" s="19">
        <f>C20+D20+E20+F20+G20+H20+I20+J20+K20+L20+M20+N20+O20+P20+Q20+X20+Z20+AE20</f>
        <v>2211456.3370000003</v>
      </c>
      <c r="AG20" s="9">
        <f>AF20/15500</f>
        <v>142.6746023870968</v>
      </c>
      <c r="AH20" s="9">
        <f>AG20/12</f>
        <v>11.889550198924733</v>
      </c>
    </row>
    <row r="21" spans="1:34" x14ac:dyDescent="0.25">
      <c r="A21" s="30" t="s">
        <v>92</v>
      </c>
      <c r="B21" s="28">
        <v>2113825</v>
      </c>
      <c r="C21" s="22">
        <f>B21+(B21*0.05)</f>
        <v>2219516.25</v>
      </c>
      <c r="D21" s="22">
        <v>25150</v>
      </c>
      <c r="E21" s="20">
        <f>-(C21*0.07)</f>
        <v>-155366.13750000001</v>
      </c>
      <c r="F21" s="20">
        <v>0</v>
      </c>
      <c r="G21" s="20">
        <f>-(C21*0.07)</f>
        <v>-155366.13750000001</v>
      </c>
      <c r="H21" s="20">
        <v>0</v>
      </c>
      <c r="I21" s="20">
        <v>0</v>
      </c>
      <c r="J21" s="9">
        <v>170148</v>
      </c>
      <c r="K21" s="9">
        <v>20000</v>
      </c>
      <c r="L21" s="9">
        <v>0</v>
      </c>
      <c r="M21" s="9">
        <v>0</v>
      </c>
      <c r="N21" s="9">
        <v>0</v>
      </c>
      <c r="O21" s="9">
        <v>0</v>
      </c>
      <c r="P21" s="9">
        <v>85250</v>
      </c>
      <c r="Q21" s="9">
        <v>0</v>
      </c>
      <c r="R21" s="16">
        <v>0</v>
      </c>
      <c r="S21" s="26">
        <v>15500</v>
      </c>
      <c r="T21" s="33">
        <f>-(S21*0.03)</f>
        <v>-465</v>
      </c>
      <c r="U21" s="33">
        <v>0</v>
      </c>
      <c r="V21" s="33">
        <v>0</v>
      </c>
      <c r="W21" s="33">
        <v>775</v>
      </c>
      <c r="X21" s="25">
        <v>0</v>
      </c>
      <c r="Y21" s="16">
        <v>15.7</v>
      </c>
      <c r="Z21" s="20">
        <f>(T21+U21+V21+W21)*Y21</f>
        <v>4867</v>
      </c>
      <c r="AA21" s="21">
        <v>3100</v>
      </c>
      <c r="AB21" s="21">
        <v>0</v>
      </c>
      <c r="AC21" s="33">
        <v>-775</v>
      </c>
      <c r="AD21" s="27">
        <v>0</v>
      </c>
      <c r="AE21" s="25">
        <f>(AA21+AB21+AC21)*AD21</f>
        <v>0</v>
      </c>
      <c r="AF21" s="19">
        <f>C21+D21+E21+F21+G21+H21+I21+J21+K21+L21+M21+N21+O21+P21+Q21+X21+Z21+AE21</f>
        <v>2214198.9750000001</v>
      </c>
      <c r="AG21" s="9">
        <f>AF21/15500</f>
        <v>142.85154677419357</v>
      </c>
      <c r="AH21" s="9">
        <f>AG21/12</f>
        <v>11.904295564516131</v>
      </c>
    </row>
    <row r="22" spans="1:34" x14ac:dyDescent="0.25">
      <c r="A22" s="30" t="s">
        <v>169</v>
      </c>
      <c r="B22" s="28">
        <v>2113825</v>
      </c>
      <c r="C22" s="22">
        <f>B22+(B22*0.05)</f>
        <v>2219516.25</v>
      </c>
      <c r="D22" s="22">
        <v>25150</v>
      </c>
      <c r="E22" s="20">
        <f>-(C22*0.07)</f>
        <v>-155366.13750000001</v>
      </c>
      <c r="F22" s="20">
        <v>0</v>
      </c>
      <c r="G22" s="20">
        <f>-(C22*0.07)</f>
        <v>-155366.13750000001</v>
      </c>
      <c r="H22" s="20">
        <v>0</v>
      </c>
      <c r="I22" s="20">
        <v>0</v>
      </c>
      <c r="J22" s="9">
        <v>170148</v>
      </c>
      <c r="K22" s="9">
        <v>20000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f>15028*55/10</f>
        <v>82654</v>
      </c>
      <c r="R22" s="16">
        <v>0</v>
      </c>
      <c r="S22" s="26">
        <v>15028</v>
      </c>
      <c r="T22" s="33">
        <v>0</v>
      </c>
      <c r="U22" s="33">
        <v>0</v>
      </c>
      <c r="V22" s="33">
        <v>0</v>
      </c>
      <c r="W22" s="33">
        <v>751.5</v>
      </c>
      <c r="X22" s="25">
        <v>0</v>
      </c>
      <c r="Y22" s="16">
        <v>15.7</v>
      </c>
      <c r="Z22" s="20">
        <f>(T22+U22+V22+W22)*Y22</f>
        <v>11798.55</v>
      </c>
      <c r="AA22" s="21">
        <v>3006</v>
      </c>
      <c r="AB22" s="21">
        <v>0</v>
      </c>
      <c r="AC22" s="33">
        <f>-(3006*0.25)</f>
        <v>-751.5</v>
      </c>
      <c r="AD22" s="27">
        <v>0</v>
      </c>
      <c r="AE22" s="25">
        <f>(AA22+AB22+AC22)*AD22</f>
        <v>0</v>
      </c>
      <c r="AF22" s="19">
        <f>C22+D22+E22+F22+G22+H22+I22+J22+K22+L22+M22+N22+O22+P22+Q22+X22+Z22+AE22</f>
        <v>2218534.5249999999</v>
      </c>
      <c r="AG22" s="9">
        <f>AF22/15500</f>
        <v>143.13125967741934</v>
      </c>
      <c r="AH22" s="9">
        <f>AG22/12</f>
        <v>11.927604973118278</v>
      </c>
    </row>
    <row r="23" spans="1:34" x14ac:dyDescent="0.25">
      <c r="A23" s="30" t="s">
        <v>91</v>
      </c>
      <c r="B23" s="28">
        <v>2113825</v>
      </c>
      <c r="C23" s="22">
        <f>B23+(B23*0.05)</f>
        <v>2219516.25</v>
      </c>
      <c r="D23" s="22">
        <v>25150</v>
      </c>
      <c r="E23" s="20">
        <f>-(C23*0.07)</f>
        <v>-155366.13750000001</v>
      </c>
      <c r="F23" s="20">
        <v>0</v>
      </c>
      <c r="G23" s="20">
        <f>-(C23*0.07)</f>
        <v>-155366.13750000001</v>
      </c>
      <c r="H23" s="20">
        <v>0</v>
      </c>
      <c r="I23" s="20">
        <v>0</v>
      </c>
      <c r="J23" s="9">
        <v>170148</v>
      </c>
      <c r="K23" s="9">
        <v>20000</v>
      </c>
      <c r="L23" s="9">
        <v>0</v>
      </c>
      <c r="M23" s="9">
        <v>0</v>
      </c>
      <c r="N23" s="9">
        <v>0</v>
      </c>
      <c r="O23" s="9">
        <v>0</v>
      </c>
      <c r="P23" s="9">
        <v>85250</v>
      </c>
      <c r="Q23" s="9">
        <v>0</v>
      </c>
      <c r="R23" s="16">
        <v>0</v>
      </c>
      <c r="S23" s="26">
        <v>15500</v>
      </c>
      <c r="T23" s="33">
        <v>0</v>
      </c>
      <c r="U23" s="33">
        <v>0</v>
      </c>
      <c r="V23" s="33">
        <v>0</v>
      </c>
      <c r="W23" s="33">
        <v>775</v>
      </c>
      <c r="X23" s="25">
        <v>0</v>
      </c>
      <c r="Y23" s="16">
        <v>15.7</v>
      </c>
      <c r="Z23" s="20">
        <f>(T23+U23+V23+W23)*Y23</f>
        <v>12167.5</v>
      </c>
      <c r="AA23" s="21">
        <v>3100</v>
      </c>
      <c r="AB23" s="21">
        <v>0</v>
      </c>
      <c r="AC23" s="33">
        <v>-775</v>
      </c>
      <c r="AD23" s="27">
        <v>0</v>
      </c>
      <c r="AE23" s="25">
        <f>(AA23+AB23+AC23)*AD23</f>
        <v>0</v>
      </c>
      <c r="AF23" s="19">
        <f>C23+D23+E23+F23+G23+H23+I23+J23+K23+L23+M23+N23+O23+P23+Q23+X23+Z23+AE23</f>
        <v>2221499.4750000001</v>
      </c>
      <c r="AG23" s="9">
        <f>AF23/15500</f>
        <v>143.32254677419354</v>
      </c>
      <c r="AH23" s="9">
        <f>AG23/12</f>
        <v>11.943545564516128</v>
      </c>
    </row>
    <row r="24" spans="1:34" x14ac:dyDescent="0.25">
      <c r="A24" s="30" t="s">
        <v>177</v>
      </c>
      <c r="B24" s="28">
        <v>2113825</v>
      </c>
      <c r="C24" s="22">
        <f>B24+(B24*0.05)</f>
        <v>2219516.25</v>
      </c>
      <c r="D24" s="22">
        <v>25150</v>
      </c>
      <c r="E24" s="20">
        <f>-(C24*0.07)</f>
        <v>-155366.13750000001</v>
      </c>
      <c r="F24" s="20">
        <v>0</v>
      </c>
      <c r="G24" s="20">
        <f>-(C24*0.07)</f>
        <v>-155366.13750000001</v>
      </c>
      <c r="H24" s="20">
        <v>0</v>
      </c>
      <c r="I24" s="20">
        <f>-(C24*0.07)</f>
        <v>-155366.13750000001</v>
      </c>
      <c r="J24" s="9">
        <v>170148</v>
      </c>
      <c r="K24" s="9">
        <v>20000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f>15028*55/10</f>
        <v>82654</v>
      </c>
      <c r="R24" s="16">
        <v>0</v>
      </c>
      <c r="S24" s="26">
        <v>15028</v>
      </c>
      <c r="T24" s="33">
        <v>0</v>
      </c>
      <c r="U24" s="33">
        <f>-(15028*0.05)</f>
        <v>-751.40000000000009</v>
      </c>
      <c r="V24" s="33">
        <v>0</v>
      </c>
      <c r="W24" s="33">
        <v>751.5</v>
      </c>
      <c r="X24" s="25">
        <v>0</v>
      </c>
      <c r="Y24" s="16">
        <v>15.7</v>
      </c>
      <c r="Z24" s="20">
        <f>(T24+U24+V24+W24)*Y24</f>
        <v>1.5699999999985721</v>
      </c>
      <c r="AA24" s="21">
        <v>3006</v>
      </c>
      <c r="AB24" s="21">
        <v>0</v>
      </c>
      <c r="AC24" s="33">
        <f>-(3006*0.25)</f>
        <v>-751.5</v>
      </c>
      <c r="AD24" s="27">
        <v>80</v>
      </c>
      <c r="AE24" s="25">
        <f>(AA24+AB24+AC24)*AD24</f>
        <v>180360</v>
      </c>
      <c r="AF24" s="19">
        <f>C24+D24+E24+F24+G24+H24+I24+J24+K24+L24+M24+N24+O24+P24+Q24+X24+Z24+AE24</f>
        <v>2231731.4075000002</v>
      </c>
      <c r="AG24" s="9">
        <f>AF24/15500</f>
        <v>143.98267145161293</v>
      </c>
      <c r="AH24" s="9">
        <f>AG24/12</f>
        <v>11.998555954301077</v>
      </c>
    </row>
    <row r="25" spans="1:34" x14ac:dyDescent="0.25">
      <c r="A25" s="30" t="s">
        <v>99</v>
      </c>
      <c r="B25" s="28">
        <v>2113825</v>
      </c>
      <c r="C25" s="22">
        <f>B25+(B25*0.05)</f>
        <v>2219516.25</v>
      </c>
      <c r="D25" s="22">
        <v>25150</v>
      </c>
      <c r="E25" s="20">
        <f>-(C25*0.07)</f>
        <v>-155366.13750000001</v>
      </c>
      <c r="F25" s="20">
        <v>0</v>
      </c>
      <c r="G25" s="20">
        <f>-(C25*0.07)</f>
        <v>-155366.13750000001</v>
      </c>
      <c r="H25" s="20">
        <v>0</v>
      </c>
      <c r="I25" s="20">
        <f>-(C25*0.07)</f>
        <v>-155366.13750000001</v>
      </c>
      <c r="J25" s="9">
        <v>170148</v>
      </c>
      <c r="K25" s="9">
        <v>20000</v>
      </c>
      <c r="L25" s="9">
        <v>0</v>
      </c>
      <c r="M25" s="9">
        <v>0</v>
      </c>
      <c r="N25" s="9">
        <v>0</v>
      </c>
      <c r="O25" s="9">
        <v>0</v>
      </c>
      <c r="P25" s="9">
        <v>85250</v>
      </c>
      <c r="Q25" s="9">
        <v>0</v>
      </c>
      <c r="R25" s="16">
        <v>0</v>
      </c>
      <c r="S25" s="26">
        <v>15500</v>
      </c>
      <c r="T25" s="33">
        <v>0</v>
      </c>
      <c r="U25" s="33">
        <f>-(15500*0.05)</f>
        <v>-775</v>
      </c>
      <c r="V25" s="33">
        <v>0</v>
      </c>
      <c r="W25" s="33">
        <v>775</v>
      </c>
      <c r="X25" s="25">
        <v>0</v>
      </c>
      <c r="Y25" s="16">
        <v>15.7</v>
      </c>
      <c r="Z25" s="20">
        <f>(T25+U25+V25+W25)*Y25</f>
        <v>0</v>
      </c>
      <c r="AA25" s="21">
        <v>3100</v>
      </c>
      <c r="AB25" s="21">
        <v>0</v>
      </c>
      <c r="AC25" s="33">
        <v>-775</v>
      </c>
      <c r="AD25" s="27">
        <v>80</v>
      </c>
      <c r="AE25" s="25">
        <f>(AA25+AB25+AC25)*AD25</f>
        <v>186000</v>
      </c>
      <c r="AF25" s="19">
        <f>C25+D25+E25+F25+G25+H25+I25+J25+K25+L25+M25+N25+O25+P25+Q25+X25+Z25+AE25</f>
        <v>2239965.8375000004</v>
      </c>
      <c r="AG25" s="9">
        <f>AF25/15500</f>
        <v>144.51392500000003</v>
      </c>
      <c r="AH25" s="9">
        <f>AG25/12</f>
        <v>12.042827083333336</v>
      </c>
    </row>
    <row r="26" spans="1:34" x14ac:dyDescent="0.25">
      <c r="A26" s="29" t="s">
        <v>153</v>
      </c>
      <c r="B26" s="28">
        <v>2113825</v>
      </c>
      <c r="C26" s="22">
        <f>B26+(B26*0.05)</f>
        <v>2219516.25</v>
      </c>
      <c r="D26" s="22">
        <v>25150</v>
      </c>
      <c r="E26" s="22">
        <v>0</v>
      </c>
      <c r="F26" s="20">
        <v>0</v>
      </c>
      <c r="G26" s="20">
        <v>0</v>
      </c>
      <c r="H26" s="20">
        <f>-(C26*0.11)</f>
        <v>-244146.78750000001</v>
      </c>
      <c r="I26" s="20">
        <v>0</v>
      </c>
      <c r="J26" s="9">
        <v>170148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16">
        <v>0</v>
      </c>
      <c r="S26" s="26">
        <v>15028</v>
      </c>
      <c r="T26" s="33">
        <f>-(15028*0.03)</f>
        <v>-450.84</v>
      </c>
      <c r="U26" s="33">
        <v>0</v>
      </c>
      <c r="V26" s="33">
        <v>0</v>
      </c>
      <c r="W26" s="33">
        <v>751.5</v>
      </c>
      <c r="X26" s="25">
        <v>0</v>
      </c>
      <c r="Y26" s="16">
        <v>15.7</v>
      </c>
      <c r="Z26" s="20">
        <f>(T26+U26+V26+W26)*Y26</f>
        <v>4720.3620000000001</v>
      </c>
      <c r="AA26" s="21">
        <v>3006</v>
      </c>
      <c r="AB26" s="21">
        <v>0</v>
      </c>
      <c r="AC26" s="33">
        <f>-(3006*0.25)</f>
        <v>-751.5</v>
      </c>
      <c r="AD26" s="27">
        <v>45</v>
      </c>
      <c r="AE26" s="25">
        <f>(AA26+AB26+AC26)*AD26</f>
        <v>101452.5</v>
      </c>
      <c r="AF26" s="19">
        <f>C26+D26+E26+F26+G26+H26+I26+J26+K26+L26+M26+N26+O26+P26+Q26+X26+Z26+AE26</f>
        <v>2276840.3245000001</v>
      </c>
      <c r="AG26" s="9">
        <f>AF26/15500</f>
        <v>146.89292416129032</v>
      </c>
      <c r="AH26" s="9">
        <f>AG26/12</f>
        <v>12.24107701344086</v>
      </c>
    </row>
    <row r="27" spans="1:34" x14ac:dyDescent="0.25">
      <c r="A27" s="29" t="s">
        <v>124</v>
      </c>
      <c r="B27" s="28">
        <v>2113825</v>
      </c>
      <c r="C27" s="22">
        <f>B27+(B27*0.05)</f>
        <v>2219516.25</v>
      </c>
      <c r="D27" s="22">
        <v>25150</v>
      </c>
      <c r="E27" s="22">
        <v>0</v>
      </c>
      <c r="F27" s="20">
        <v>0</v>
      </c>
      <c r="G27" s="20">
        <v>0</v>
      </c>
      <c r="H27" s="20">
        <f>-(C27*0.11)</f>
        <v>-244146.78750000001</v>
      </c>
      <c r="I27" s="20">
        <v>0</v>
      </c>
      <c r="J27" s="9">
        <v>170148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16">
        <v>0</v>
      </c>
      <c r="S27" s="26">
        <v>15500</v>
      </c>
      <c r="T27" s="33">
        <f>-(S27*0.03)</f>
        <v>-465</v>
      </c>
      <c r="U27" s="33">
        <v>0</v>
      </c>
      <c r="V27" s="33">
        <v>0</v>
      </c>
      <c r="W27" s="33">
        <v>775</v>
      </c>
      <c r="X27" s="25">
        <v>0</v>
      </c>
      <c r="Y27" s="16">
        <v>15.7</v>
      </c>
      <c r="Z27" s="20">
        <f>(T27+U27+V27+W27)*Y27</f>
        <v>4867</v>
      </c>
      <c r="AA27" s="21">
        <v>3100</v>
      </c>
      <c r="AB27" s="21">
        <v>0</v>
      </c>
      <c r="AC27" s="33">
        <f>-(AA27*0.25)</f>
        <v>-775</v>
      </c>
      <c r="AD27" s="27">
        <v>45</v>
      </c>
      <c r="AE27" s="25">
        <f>(AA27+AB27+AC27)*AD27</f>
        <v>104625</v>
      </c>
      <c r="AF27" s="19">
        <f>C27+D27+E27+F27+G27+H27+I27+J27+K27+L27+M27+N27+O27+P27+Q27+X27+Z27+AE27</f>
        <v>2280159.4624999999</v>
      </c>
      <c r="AG27" s="9">
        <f>AF27/15500</f>
        <v>147.1070620967742</v>
      </c>
      <c r="AH27" s="9">
        <f>AG27/12</f>
        <v>12.25892184139785</v>
      </c>
    </row>
    <row r="28" spans="1:34" x14ac:dyDescent="0.25">
      <c r="A28" s="29" t="s">
        <v>152</v>
      </c>
      <c r="B28" s="28">
        <v>2113825</v>
      </c>
      <c r="C28" s="22">
        <f>B28+(B28*0.05)</f>
        <v>2219516.25</v>
      </c>
      <c r="D28" s="22">
        <v>25150</v>
      </c>
      <c r="E28" s="22">
        <v>0</v>
      </c>
      <c r="F28" s="20">
        <v>0</v>
      </c>
      <c r="G28" s="20">
        <v>0</v>
      </c>
      <c r="H28" s="20">
        <f>-(C28*0.11)</f>
        <v>-244146.78750000001</v>
      </c>
      <c r="I28" s="20">
        <v>0</v>
      </c>
      <c r="J28" s="9">
        <v>170148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16">
        <v>0</v>
      </c>
      <c r="S28" s="26">
        <v>15028</v>
      </c>
      <c r="T28" s="33">
        <v>0</v>
      </c>
      <c r="U28" s="33">
        <v>0</v>
      </c>
      <c r="V28" s="33">
        <v>0</v>
      </c>
      <c r="W28" s="33">
        <v>751.5</v>
      </c>
      <c r="X28" s="25">
        <v>0</v>
      </c>
      <c r="Y28" s="16">
        <v>15.7</v>
      </c>
      <c r="Z28" s="20">
        <f>(T28+U28+V28+W28)*Y28</f>
        <v>11798.55</v>
      </c>
      <c r="AA28" s="21">
        <v>3006</v>
      </c>
      <c r="AB28" s="21">
        <v>0</v>
      </c>
      <c r="AC28" s="33">
        <f>-(3006*0.25)</f>
        <v>-751.5</v>
      </c>
      <c r="AD28" s="27">
        <v>45</v>
      </c>
      <c r="AE28" s="25">
        <f>(AA28+AB28+AC28)*AD28</f>
        <v>101452.5</v>
      </c>
      <c r="AF28" s="19">
        <f>C28+D28+E28+F28+G28+H28+I28+J28+K28+L28+M28+N28+O28+P28+Q28+X28+Z28+AE28</f>
        <v>2283918.5124999997</v>
      </c>
      <c r="AG28" s="9">
        <f>AF28/15500</f>
        <v>147.34958145161289</v>
      </c>
      <c r="AH28" s="9">
        <f>AG28/12</f>
        <v>12.279131787634407</v>
      </c>
    </row>
    <row r="29" spans="1:34" x14ac:dyDescent="0.25">
      <c r="A29" s="29" t="s">
        <v>123</v>
      </c>
      <c r="B29" s="28">
        <v>2113825</v>
      </c>
      <c r="C29" s="22">
        <f>B29+(B29*0.05)</f>
        <v>2219516.25</v>
      </c>
      <c r="D29" s="22">
        <v>25150</v>
      </c>
      <c r="E29" s="22">
        <v>0</v>
      </c>
      <c r="F29" s="20">
        <v>0</v>
      </c>
      <c r="G29" s="20">
        <v>0</v>
      </c>
      <c r="H29" s="20">
        <f>-(C29*0.11)</f>
        <v>-244146.78750000001</v>
      </c>
      <c r="I29" s="20">
        <v>0</v>
      </c>
      <c r="J29" s="9">
        <v>170148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16">
        <v>0</v>
      </c>
      <c r="S29" s="26">
        <v>15500</v>
      </c>
      <c r="T29" s="33">
        <v>0</v>
      </c>
      <c r="U29" s="33">
        <v>0</v>
      </c>
      <c r="V29" s="33">
        <v>0</v>
      </c>
      <c r="W29" s="33">
        <v>775</v>
      </c>
      <c r="X29" s="25">
        <v>0</v>
      </c>
      <c r="Y29" s="16">
        <v>15.7</v>
      </c>
      <c r="Z29" s="20">
        <f>(T29+U29+V29+W29)*Y29</f>
        <v>12167.5</v>
      </c>
      <c r="AA29" s="21">
        <v>3100</v>
      </c>
      <c r="AB29" s="21">
        <v>0</v>
      </c>
      <c r="AC29" s="33">
        <f>-(AA29*0.25)</f>
        <v>-775</v>
      </c>
      <c r="AD29" s="27">
        <v>45</v>
      </c>
      <c r="AE29" s="25">
        <f>(AA29+AB29+AC29)*AD29</f>
        <v>104625</v>
      </c>
      <c r="AF29" s="19">
        <f>C29+D29+E29+F29+G29+H29+I29+J29+K29+L29+M29+N29+O29+P29+Q29+X29+Z29+AE29</f>
        <v>2287459.9624999999</v>
      </c>
      <c r="AG29" s="9">
        <f>AF29/15500</f>
        <v>147.57806209677418</v>
      </c>
      <c r="AH29" s="9">
        <f>AG29/12</f>
        <v>12.298171841397847</v>
      </c>
    </row>
    <row r="30" spans="1:34" x14ac:dyDescent="0.25">
      <c r="A30" s="30" t="s">
        <v>173</v>
      </c>
      <c r="B30" s="28">
        <v>2113825</v>
      </c>
      <c r="C30" s="22">
        <f>B30+(B30*0.05)</f>
        <v>2219516.25</v>
      </c>
      <c r="D30" s="22">
        <v>25150</v>
      </c>
      <c r="E30" s="20">
        <f>-(C30*0.07)</f>
        <v>-155366.13750000001</v>
      </c>
      <c r="F30" s="20">
        <v>0</v>
      </c>
      <c r="G30" s="20">
        <f>-(C30*0.07)</f>
        <v>-155366.13750000001</v>
      </c>
      <c r="H30" s="20">
        <v>0</v>
      </c>
      <c r="I30" s="20">
        <v>0</v>
      </c>
      <c r="J30" s="9">
        <v>170148</v>
      </c>
      <c r="K30" s="9">
        <v>20000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f>15028*55/10</f>
        <v>82654</v>
      </c>
      <c r="R30" s="16">
        <v>0</v>
      </c>
      <c r="S30" s="26">
        <v>15028</v>
      </c>
      <c r="T30" s="33">
        <f>-(15028*0.03)</f>
        <v>-450.84</v>
      </c>
      <c r="U30" s="33">
        <v>0</v>
      </c>
      <c r="V30" s="33">
        <v>0</v>
      </c>
      <c r="W30" s="33">
        <v>751.5</v>
      </c>
      <c r="X30" s="25">
        <v>0</v>
      </c>
      <c r="Y30" s="16">
        <v>15.7</v>
      </c>
      <c r="Z30" s="20">
        <f>(T30+U30+V30+W30)*Y30</f>
        <v>4720.3620000000001</v>
      </c>
      <c r="AA30" s="21">
        <v>3006</v>
      </c>
      <c r="AB30" s="21">
        <v>0</v>
      </c>
      <c r="AC30" s="33">
        <f>-(3006*0.25)</f>
        <v>-751.5</v>
      </c>
      <c r="AD30" s="27">
        <v>45</v>
      </c>
      <c r="AE30" s="25">
        <f>(AA30+AB30+AC30)*AD30</f>
        <v>101452.5</v>
      </c>
      <c r="AF30" s="19">
        <f>C30+D30+E30+F30+G30+H30+I30+J30+K30+L30+M30+N30+O30+P30+Q30+X30+Z30+AE30</f>
        <v>2312908.8370000003</v>
      </c>
      <c r="AG30" s="9">
        <f>AF30/15500</f>
        <v>149.21992496774195</v>
      </c>
      <c r="AH30" s="9">
        <f>AG30/12</f>
        <v>12.434993747311829</v>
      </c>
    </row>
    <row r="31" spans="1:34" x14ac:dyDescent="0.25">
      <c r="A31" s="30" t="s">
        <v>95</v>
      </c>
      <c r="B31" s="28">
        <v>2113825</v>
      </c>
      <c r="C31" s="22">
        <f>B31+(B31*0.05)</f>
        <v>2219516.25</v>
      </c>
      <c r="D31" s="22">
        <v>25150</v>
      </c>
      <c r="E31" s="20">
        <f>-(C31*0.07)</f>
        <v>-155366.13750000001</v>
      </c>
      <c r="F31" s="20">
        <v>0</v>
      </c>
      <c r="G31" s="20">
        <f>-(C31*0.07)</f>
        <v>-155366.13750000001</v>
      </c>
      <c r="H31" s="20">
        <v>0</v>
      </c>
      <c r="I31" s="20">
        <v>0</v>
      </c>
      <c r="J31" s="9">
        <v>170148</v>
      </c>
      <c r="K31" s="9">
        <v>20000</v>
      </c>
      <c r="L31" s="9">
        <v>0</v>
      </c>
      <c r="M31" s="9">
        <v>0</v>
      </c>
      <c r="N31" s="9">
        <v>0</v>
      </c>
      <c r="O31" s="9">
        <v>0</v>
      </c>
      <c r="P31" s="9">
        <v>85250</v>
      </c>
      <c r="Q31" s="9">
        <v>0</v>
      </c>
      <c r="R31" s="16">
        <v>0</v>
      </c>
      <c r="S31" s="26">
        <v>15500</v>
      </c>
      <c r="T31" s="33">
        <f>-(S31*0.03)</f>
        <v>-465</v>
      </c>
      <c r="U31" s="33">
        <v>0</v>
      </c>
      <c r="V31" s="33">
        <v>0</v>
      </c>
      <c r="W31" s="33">
        <v>775</v>
      </c>
      <c r="X31" s="25">
        <v>0</v>
      </c>
      <c r="Y31" s="16">
        <v>15.7</v>
      </c>
      <c r="Z31" s="20">
        <f>(T31+U31+V31+W31)*Y31</f>
        <v>4867</v>
      </c>
      <c r="AA31" s="21">
        <v>3100</v>
      </c>
      <c r="AB31" s="21">
        <v>0</v>
      </c>
      <c r="AC31" s="33">
        <v>-775</v>
      </c>
      <c r="AD31" s="27">
        <v>45</v>
      </c>
      <c r="AE31" s="25">
        <f>(AA31+AB31+AC31)*AD31</f>
        <v>104625</v>
      </c>
      <c r="AF31" s="19">
        <f>C31+D31+E31+F31+G31+H31+I31+J31+K31+L31+M31+N31+O31+P31+Q31+X31+Z31+AE31</f>
        <v>2318823.9750000001</v>
      </c>
      <c r="AG31" s="9">
        <f>AF31/15500</f>
        <v>149.60154677419357</v>
      </c>
      <c r="AH31" s="9">
        <f>AG31/12</f>
        <v>12.466795564516131</v>
      </c>
    </row>
    <row r="32" spans="1:34" x14ac:dyDescent="0.25">
      <c r="A32" s="30" t="s">
        <v>172</v>
      </c>
      <c r="B32" s="28">
        <v>2113825</v>
      </c>
      <c r="C32" s="22">
        <f>B32+(B32*0.05)</f>
        <v>2219516.25</v>
      </c>
      <c r="D32" s="22">
        <v>25150</v>
      </c>
      <c r="E32" s="20">
        <f>-(C32*0.07)</f>
        <v>-155366.13750000001</v>
      </c>
      <c r="F32" s="20">
        <v>0</v>
      </c>
      <c r="G32" s="20">
        <f>-(C32*0.07)</f>
        <v>-155366.13750000001</v>
      </c>
      <c r="H32" s="20">
        <v>0</v>
      </c>
      <c r="I32" s="20">
        <v>0</v>
      </c>
      <c r="J32" s="9">
        <v>170148</v>
      </c>
      <c r="K32" s="9">
        <v>20000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f>15028*55/10</f>
        <v>82654</v>
      </c>
      <c r="R32" s="16">
        <v>0</v>
      </c>
      <c r="S32" s="26">
        <v>15028</v>
      </c>
      <c r="T32" s="33">
        <v>0</v>
      </c>
      <c r="U32" s="33">
        <v>0</v>
      </c>
      <c r="V32" s="33">
        <v>0</v>
      </c>
      <c r="W32" s="33">
        <v>751.5</v>
      </c>
      <c r="X32" s="25">
        <v>0</v>
      </c>
      <c r="Y32" s="16">
        <v>15.7</v>
      </c>
      <c r="Z32" s="20">
        <f>(T32+U32+V32+W32)*Y32</f>
        <v>11798.55</v>
      </c>
      <c r="AA32" s="21">
        <v>3006</v>
      </c>
      <c r="AB32" s="21">
        <v>0</v>
      </c>
      <c r="AC32" s="33">
        <f>-(3006*0.25)</f>
        <v>-751.5</v>
      </c>
      <c r="AD32" s="27">
        <v>45</v>
      </c>
      <c r="AE32" s="25">
        <f>(AA32+AB32+AC32)*AD32</f>
        <v>101452.5</v>
      </c>
      <c r="AF32" s="19">
        <f>C32+D32+E32+F32+G32+H32+I32+J32+K32+L32+M32+N32+O32+P32+Q32+X32+Z32+AE32</f>
        <v>2319987.0249999999</v>
      </c>
      <c r="AG32" s="9">
        <f>AF32/15500</f>
        <v>149.67658225806451</v>
      </c>
      <c r="AH32" s="9">
        <f>AG32/12</f>
        <v>12.473048521505376</v>
      </c>
    </row>
    <row r="33" spans="1:34" x14ac:dyDescent="0.25">
      <c r="A33" s="29" t="s">
        <v>141</v>
      </c>
      <c r="B33" s="28">
        <v>2113825</v>
      </c>
      <c r="C33" s="22">
        <f>B33+(B33*0.05)</f>
        <v>2219516.25</v>
      </c>
      <c r="D33" s="22">
        <v>25150</v>
      </c>
      <c r="E33" s="22">
        <v>0</v>
      </c>
      <c r="F33" s="20">
        <f>-(C33*0.037)</f>
        <v>-82122.101249999992</v>
      </c>
      <c r="G33" s="20">
        <v>0</v>
      </c>
      <c r="H33" s="20">
        <v>0</v>
      </c>
      <c r="I33" s="20">
        <f>-(C33*0.07)</f>
        <v>-155366.13750000001</v>
      </c>
      <c r="J33" s="9">
        <v>240572</v>
      </c>
      <c r="K33" s="9">
        <f>4000*3</f>
        <v>12000</v>
      </c>
      <c r="L33" s="9">
        <v>0</v>
      </c>
      <c r="M33" s="9">
        <v>0</v>
      </c>
      <c r="N33" s="9">
        <v>0</v>
      </c>
      <c r="O33" s="9">
        <f>15028*50/10</f>
        <v>75140</v>
      </c>
      <c r="P33" s="9">
        <v>0</v>
      </c>
      <c r="Q33" s="9">
        <v>0</v>
      </c>
      <c r="R33" s="16">
        <v>0</v>
      </c>
      <c r="S33" s="26">
        <v>15028</v>
      </c>
      <c r="T33" s="33">
        <v>0</v>
      </c>
      <c r="U33" s="33">
        <f>-(S33*0.05)</f>
        <v>-751.40000000000009</v>
      </c>
      <c r="V33" s="33">
        <v>-90.18</v>
      </c>
      <c r="W33" s="33">
        <v>0</v>
      </c>
      <c r="X33" s="25">
        <v>0</v>
      </c>
      <c r="Y33" s="16">
        <v>15.7</v>
      </c>
      <c r="Z33" s="20">
        <f>(T33+U33+V33+W33)*Y33</f>
        <v>-13212.806000000002</v>
      </c>
      <c r="AA33" s="21">
        <v>3006</v>
      </c>
      <c r="AB33" s="21">
        <f>3006*0.03</f>
        <v>90.179999999999993</v>
      </c>
      <c r="AC33" s="33">
        <v>0</v>
      </c>
      <c r="AD33" s="27">
        <v>0</v>
      </c>
      <c r="AE33" s="25">
        <f>(AA33+AB33+AC33)*AD33</f>
        <v>0</v>
      </c>
      <c r="AF33" s="19">
        <f>C33+D33+E33+F33+G33+H33+I33+J33+K33+L33+M33+N33+O33+P33+Q33+X33+Z33+AE33</f>
        <v>2321677.2052500006</v>
      </c>
      <c r="AG33" s="9">
        <f>AF33/15500</f>
        <v>149.78562614516133</v>
      </c>
      <c r="AH33" s="9">
        <f>AG33/12</f>
        <v>12.482135512096777</v>
      </c>
    </row>
    <row r="34" spans="1:34" x14ac:dyDescent="0.25">
      <c r="A34" s="29" t="s">
        <v>113</v>
      </c>
      <c r="B34" s="28">
        <v>2113825</v>
      </c>
      <c r="C34" s="22">
        <f>B34+(B34*0.05)</f>
        <v>2219516.25</v>
      </c>
      <c r="D34" s="22">
        <v>25150</v>
      </c>
      <c r="E34" s="22">
        <v>0</v>
      </c>
      <c r="F34" s="20">
        <f>-(C34*0.037)</f>
        <v>-82122.101249999992</v>
      </c>
      <c r="G34" s="20">
        <v>0</v>
      </c>
      <c r="H34" s="20">
        <v>0</v>
      </c>
      <c r="I34" s="20">
        <f>-(C34*0.07)</f>
        <v>-155366.13750000001</v>
      </c>
      <c r="J34" s="9">
        <v>240572</v>
      </c>
      <c r="K34" s="9">
        <f>4000*3</f>
        <v>12000</v>
      </c>
      <c r="L34" s="9">
        <v>0</v>
      </c>
      <c r="M34" s="9">
        <v>0</v>
      </c>
      <c r="N34" s="9">
        <f>15500*50/10</f>
        <v>77500</v>
      </c>
      <c r="O34" s="9">
        <v>0</v>
      </c>
      <c r="P34" s="9">
        <v>0</v>
      </c>
      <c r="Q34" s="9">
        <v>0</v>
      </c>
      <c r="R34" s="16">
        <v>0</v>
      </c>
      <c r="S34" s="26">
        <v>15500</v>
      </c>
      <c r="T34" s="33">
        <v>0</v>
      </c>
      <c r="U34" s="33">
        <f>-(15500*0.05)</f>
        <v>-775</v>
      </c>
      <c r="V34" s="33">
        <v>-93</v>
      </c>
      <c r="W34" s="33">
        <v>0</v>
      </c>
      <c r="X34" s="25">
        <v>0</v>
      </c>
      <c r="Y34" s="16">
        <v>15.7</v>
      </c>
      <c r="Z34" s="20">
        <f>(T34+U34+V34+W34)*Y34</f>
        <v>-13627.599999999999</v>
      </c>
      <c r="AA34" s="21">
        <v>3100</v>
      </c>
      <c r="AB34" s="21">
        <f>AA34*0.03</f>
        <v>93</v>
      </c>
      <c r="AC34" s="33">
        <v>0</v>
      </c>
      <c r="AD34" s="27">
        <v>0</v>
      </c>
      <c r="AE34" s="25">
        <f>(AA34+AB34+AC34)*AD34</f>
        <v>0</v>
      </c>
      <c r="AF34" s="19">
        <f>C34+D34+E34+F34+G34+H34+I34+J34+K34+L34+M34+N34+O34+P34+Q34+X34+Z34+AE34</f>
        <v>2323622.4112500004</v>
      </c>
      <c r="AG34" s="9">
        <f>AF34/15500</f>
        <v>149.91112330645163</v>
      </c>
      <c r="AH34" s="9">
        <f>AG34/12</f>
        <v>12.492593608870969</v>
      </c>
    </row>
    <row r="35" spans="1:34" x14ac:dyDescent="0.25">
      <c r="A35" s="30" t="s">
        <v>94</v>
      </c>
      <c r="B35" s="28">
        <v>2113825</v>
      </c>
      <c r="C35" s="22">
        <f>B35+(B35*0.05)</f>
        <v>2219516.25</v>
      </c>
      <c r="D35" s="22">
        <v>25150</v>
      </c>
      <c r="E35" s="20">
        <f>-(C35*0.07)</f>
        <v>-155366.13750000001</v>
      </c>
      <c r="F35" s="20">
        <v>0</v>
      </c>
      <c r="G35" s="20">
        <f>-(C35*0.07)</f>
        <v>-155366.13750000001</v>
      </c>
      <c r="H35" s="20">
        <v>0</v>
      </c>
      <c r="I35" s="20">
        <v>0</v>
      </c>
      <c r="J35" s="9">
        <v>170148</v>
      </c>
      <c r="K35" s="9">
        <v>20000</v>
      </c>
      <c r="L35" s="9">
        <v>0</v>
      </c>
      <c r="M35" s="9">
        <v>0</v>
      </c>
      <c r="N35" s="9">
        <v>0</v>
      </c>
      <c r="O35" s="9">
        <v>0</v>
      </c>
      <c r="P35" s="9">
        <v>85250</v>
      </c>
      <c r="Q35" s="9">
        <v>0</v>
      </c>
      <c r="R35" s="16">
        <v>0</v>
      </c>
      <c r="S35" s="26">
        <v>15500</v>
      </c>
      <c r="T35" s="33">
        <v>0</v>
      </c>
      <c r="U35" s="33">
        <v>0</v>
      </c>
      <c r="V35" s="33">
        <v>0</v>
      </c>
      <c r="W35" s="33">
        <v>775</v>
      </c>
      <c r="X35" s="25">
        <v>0</v>
      </c>
      <c r="Y35" s="16">
        <v>15.7</v>
      </c>
      <c r="Z35" s="20">
        <f>(T35+U35+V35+W35)*Y35</f>
        <v>12167.5</v>
      </c>
      <c r="AA35" s="21">
        <v>3100</v>
      </c>
      <c r="AB35" s="21">
        <v>0</v>
      </c>
      <c r="AC35" s="33">
        <v>-775</v>
      </c>
      <c r="AD35" s="27">
        <v>45</v>
      </c>
      <c r="AE35" s="25">
        <f>(AA35+AB35+AC35)*AD35</f>
        <v>104625</v>
      </c>
      <c r="AF35" s="19">
        <f>C35+D35+E35+F35+G35+H35+I35+J35+K35+L35+M35+N35+O35+P35+Q35+X35+Z35+AE35</f>
        <v>2326124.4750000001</v>
      </c>
      <c r="AG35" s="9">
        <f>AF35/15500</f>
        <v>150.07254677419354</v>
      </c>
      <c r="AH35" s="9">
        <f>AG35/12</f>
        <v>12.506045564516128</v>
      </c>
    </row>
    <row r="36" spans="1:34" x14ac:dyDescent="0.25">
      <c r="A36" s="30" t="s">
        <v>162</v>
      </c>
      <c r="B36" s="28">
        <v>2113825</v>
      </c>
      <c r="C36" s="22">
        <f>B36+(B36*0.05)</f>
        <v>2219516.25</v>
      </c>
      <c r="D36" s="22">
        <v>25150</v>
      </c>
      <c r="E36" s="20">
        <f>-(C36*0.07)</f>
        <v>-155366.13750000001</v>
      </c>
      <c r="F36" s="20">
        <v>0</v>
      </c>
      <c r="G36" s="20">
        <v>0</v>
      </c>
      <c r="H36" s="20">
        <v>0</v>
      </c>
      <c r="I36" s="20">
        <f>-(C36*0.07)</f>
        <v>-155366.13750000001</v>
      </c>
      <c r="J36" s="9">
        <v>240572</v>
      </c>
      <c r="K36" s="9">
        <f>4000*8</f>
        <v>32000</v>
      </c>
      <c r="L36" s="9">
        <v>0</v>
      </c>
      <c r="M36" s="9">
        <v>0</v>
      </c>
      <c r="N36" s="9">
        <v>0</v>
      </c>
      <c r="O36" s="9">
        <f>15028*50/10</f>
        <v>75140</v>
      </c>
      <c r="P36" s="9">
        <v>0</v>
      </c>
      <c r="Q36" s="9">
        <f>15028*55/10</f>
        <v>82654</v>
      </c>
      <c r="R36" s="16">
        <v>0</v>
      </c>
      <c r="S36" s="26">
        <v>15028</v>
      </c>
      <c r="T36" s="33">
        <v>0</v>
      </c>
      <c r="U36" s="33">
        <f>-(15028*0.05)</f>
        <v>-751.40000000000009</v>
      </c>
      <c r="V36" s="33">
        <v>-90.18</v>
      </c>
      <c r="W36" s="33">
        <v>0</v>
      </c>
      <c r="X36" s="25">
        <v>0</v>
      </c>
      <c r="Y36" s="16">
        <v>15.7</v>
      </c>
      <c r="Z36" s="20">
        <f>(T36+U36+V36+W36)*Y36</f>
        <v>-13212.806000000002</v>
      </c>
      <c r="AA36" s="21">
        <v>3006</v>
      </c>
      <c r="AB36" s="21">
        <f>3006*0.03</f>
        <v>90.179999999999993</v>
      </c>
      <c r="AC36" s="33">
        <v>0</v>
      </c>
      <c r="AD36" s="27">
        <v>0</v>
      </c>
      <c r="AE36" s="25">
        <f>(AA36+AB36+AC36)*AD36</f>
        <v>0</v>
      </c>
      <c r="AF36" s="19">
        <f>C36+D36+E36+F36+G36+H36+I36+J36+K36+L36+M36+N36+O36+P36+Q36+X36+Z36+AE36</f>
        <v>2351087.1690000002</v>
      </c>
      <c r="AG36" s="9">
        <f>AF36/15500</f>
        <v>151.68304316129033</v>
      </c>
      <c r="AH36" s="9">
        <f>AG36/12</f>
        <v>12.640253596774194</v>
      </c>
    </row>
    <row r="37" spans="1:34" x14ac:dyDescent="0.25">
      <c r="A37" s="30" t="s">
        <v>80</v>
      </c>
      <c r="B37" s="28">
        <v>2113825</v>
      </c>
      <c r="C37" s="22">
        <f>B37+(B37*0.05)</f>
        <v>2219516.25</v>
      </c>
      <c r="D37" s="22">
        <v>25150</v>
      </c>
      <c r="E37" s="20">
        <f>-(C37*0.07)</f>
        <v>-155366.13750000001</v>
      </c>
      <c r="F37" s="20">
        <v>0</v>
      </c>
      <c r="G37" s="20">
        <v>0</v>
      </c>
      <c r="H37" s="20">
        <v>0</v>
      </c>
      <c r="I37" s="20">
        <f>-(C37*0.07)</f>
        <v>-155366.13750000001</v>
      </c>
      <c r="J37" s="9">
        <v>240572</v>
      </c>
      <c r="K37" s="9">
        <f>4000*8</f>
        <v>32000</v>
      </c>
      <c r="L37" s="9">
        <v>0</v>
      </c>
      <c r="M37" s="9">
        <v>0</v>
      </c>
      <c r="N37" s="9">
        <f>15500*50/10</f>
        <v>77500</v>
      </c>
      <c r="O37" s="9">
        <v>0</v>
      </c>
      <c r="P37" s="9">
        <v>85250</v>
      </c>
      <c r="Q37" s="9">
        <v>0</v>
      </c>
      <c r="R37" s="16">
        <v>0</v>
      </c>
      <c r="S37" s="26">
        <v>15500</v>
      </c>
      <c r="T37" s="33">
        <v>0</v>
      </c>
      <c r="U37" s="33">
        <f>-(15500*0.05)</f>
        <v>-775</v>
      </c>
      <c r="V37" s="33">
        <v>-93</v>
      </c>
      <c r="W37" s="33">
        <v>0</v>
      </c>
      <c r="X37" s="25">
        <v>0</v>
      </c>
      <c r="Y37" s="16">
        <v>15.7</v>
      </c>
      <c r="Z37" s="20">
        <f>(T37+U37+V37+W37)*Y37</f>
        <v>-13627.599999999999</v>
      </c>
      <c r="AA37" s="21">
        <v>3100</v>
      </c>
      <c r="AB37" s="21">
        <f>AA37*0.03</f>
        <v>93</v>
      </c>
      <c r="AC37" s="33">
        <v>0</v>
      </c>
      <c r="AD37" s="27">
        <v>0</v>
      </c>
      <c r="AE37" s="25">
        <f>(AA37+AB37+AC37)*AD37</f>
        <v>0</v>
      </c>
      <c r="AF37" s="19">
        <f>C37+D37+E37+F37+G37+H37+I37+J37+K37+L37+M37+N37+O37+P37+Q37+X37+Z37+AE37</f>
        <v>2355628.375</v>
      </c>
      <c r="AG37" s="9">
        <f>AF37/15500</f>
        <v>151.9760241935484</v>
      </c>
      <c r="AH37" s="9">
        <f>AG37/12</f>
        <v>12.6646686827957</v>
      </c>
    </row>
    <row r="38" spans="1:34" x14ac:dyDescent="0.25">
      <c r="A38" s="29" t="s">
        <v>156</v>
      </c>
      <c r="B38" s="28">
        <v>2113825</v>
      </c>
      <c r="C38" s="22">
        <f>B38+(B38*0.05)</f>
        <v>2219516.25</v>
      </c>
      <c r="D38" s="22">
        <v>25150</v>
      </c>
      <c r="E38" s="22">
        <v>0</v>
      </c>
      <c r="F38" s="20">
        <v>0</v>
      </c>
      <c r="G38" s="20">
        <v>0</v>
      </c>
      <c r="H38" s="20">
        <f>-(C38*0.11)</f>
        <v>-244146.78750000001</v>
      </c>
      <c r="I38" s="20">
        <v>0</v>
      </c>
      <c r="J38" s="9">
        <v>170148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16">
        <v>0</v>
      </c>
      <c r="S38" s="26">
        <v>15028</v>
      </c>
      <c r="T38" s="33">
        <f>-(15028*0.03)</f>
        <v>-450.84</v>
      </c>
      <c r="U38" s="33">
        <v>0</v>
      </c>
      <c r="V38" s="33">
        <v>0</v>
      </c>
      <c r="W38" s="33">
        <v>751.5</v>
      </c>
      <c r="X38" s="25">
        <v>0</v>
      </c>
      <c r="Y38" s="16">
        <v>15.7</v>
      </c>
      <c r="Z38" s="20">
        <f>(T38+U38+V38+W38)*Y38</f>
        <v>4720.3620000000001</v>
      </c>
      <c r="AA38" s="21">
        <v>3006</v>
      </c>
      <c r="AB38" s="21">
        <v>0</v>
      </c>
      <c r="AC38" s="33">
        <f>-(3006*0.25)</f>
        <v>-751.5</v>
      </c>
      <c r="AD38" s="27">
        <v>80</v>
      </c>
      <c r="AE38" s="25">
        <f>(AA38+AB38+AC38)*AD38</f>
        <v>180360</v>
      </c>
      <c r="AF38" s="19">
        <f>C38+D38+E38+F38+G38+H38+I38+J38+K38+L38+M38+N38+O38+P38+Q38+X38+Z38+AE38</f>
        <v>2355747.8245000001</v>
      </c>
      <c r="AG38" s="9">
        <f>AF38/15500</f>
        <v>151.98373061290323</v>
      </c>
      <c r="AH38" s="9">
        <f>AG38/12</f>
        <v>12.665310884408603</v>
      </c>
    </row>
    <row r="39" spans="1:34" x14ac:dyDescent="0.25">
      <c r="A39" s="29" t="s">
        <v>127</v>
      </c>
      <c r="B39" s="28">
        <v>2113825</v>
      </c>
      <c r="C39" s="22">
        <f>B39+(B39*0.05)</f>
        <v>2219516.25</v>
      </c>
      <c r="D39" s="22">
        <v>25150</v>
      </c>
      <c r="E39" s="22">
        <v>0</v>
      </c>
      <c r="F39" s="20">
        <v>0</v>
      </c>
      <c r="G39" s="20">
        <v>0</v>
      </c>
      <c r="H39" s="20">
        <f>-(C39*0.11)</f>
        <v>-244146.78750000001</v>
      </c>
      <c r="I39" s="20">
        <v>0</v>
      </c>
      <c r="J39" s="9">
        <v>170148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16">
        <v>0</v>
      </c>
      <c r="S39" s="26">
        <v>15500</v>
      </c>
      <c r="T39" s="33">
        <f>-(S39*0.03)</f>
        <v>-465</v>
      </c>
      <c r="U39" s="33">
        <v>0</v>
      </c>
      <c r="V39" s="33">
        <v>0</v>
      </c>
      <c r="W39" s="33">
        <v>775</v>
      </c>
      <c r="X39" s="25">
        <v>0</v>
      </c>
      <c r="Y39" s="16">
        <v>15.7</v>
      </c>
      <c r="Z39" s="20">
        <f>(T39+U39+V39+W39)*Y39</f>
        <v>4867</v>
      </c>
      <c r="AA39" s="21">
        <v>3100</v>
      </c>
      <c r="AB39" s="21">
        <v>0</v>
      </c>
      <c r="AC39" s="33">
        <f>-(AA39*0.25)</f>
        <v>-775</v>
      </c>
      <c r="AD39" s="27">
        <v>80</v>
      </c>
      <c r="AE39" s="25">
        <f>(AA39+AB39+AC39)*AD39</f>
        <v>186000</v>
      </c>
      <c r="AF39" s="19">
        <f>C39+D39+E39+F39+G39+H39+I39+J39+K39+L39+M39+N39+O39+P39+Q39+X39+Z39+AE39</f>
        <v>2361534.4624999999</v>
      </c>
      <c r="AG39" s="9">
        <f>AF39/15500</f>
        <v>152.3570620967742</v>
      </c>
      <c r="AH39" s="9">
        <f>AG39/12</f>
        <v>12.69642184139785</v>
      </c>
    </row>
    <row r="40" spans="1:34" x14ac:dyDescent="0.25">
      <c r="A40" s="29" t="s">
        <v>155</v>
      </c>
      <c r="B40" s="28">
        <v>2113825</v>
      </c>
      <c r="C40" s="22">
        <f>B40+(B40*0.05)</f>
        <v>2219516.25</v>
      </c>
      <c r="D40" s="22">
        <v>25150</v>
      </c>
      <c r="E40" s="22">
        <v>0</v>
      </c>
      <c r="F40" s="20">
        <v>0</v>
      </c>
      <c r="G40" s="20">
        <v>0</v>
      </c>
      <c r="H40" s="20">
        <f>-(C40*0.11)</f>
        <v>-244146.78750000001</v>
      </c>
      <c r="I40" s="20">
        <v>0</v>
      </c>
      <c r="J40" s="9">
        <v>170148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16">
        <v>0</v>
      </c>
      <c r="S40" s="26">
        <v>15028</v>
      </c>
      <c r="T40" s="33">
        <v>0</v>
      </c>
      <c r="U40" s="33">
        <v>0</v>
      </c>
      <c r="V40" s="33">
        <v>0</v>
      </c>
      <c r="W40" s="33">
        <v>751.5</v>
      </c>
      <c r="X40" s="25">
        <v>0</v>
      </c>
      <c r="Y40" s="16">
        <v>15.7</v>
      </c>
      <c r="Z40" s="20">
        <f>(T40+U40+V40+W40)*Y40</f>
        <v>11798.55</v>
      </c>
      <c r="AA40" s="21">
        <v>3006</v>
      </c>
      <c r="AB40" s="21">
        <v>0</v>
      </c>
      <c r="AC40" s="33">
        <f>-(3006*0.25)</f>
        <v>-751.5</v>
      </c>
      <c r="AD40" s="27">
        <v>80</v>
      </c>
      <c r="AE40" s="25">
        <f>(AA40+AB40+AC40)*AD40</f>
        <v>180360</v>
      </c>
      <c r="AF40" s="19">
        <f>C40+D40+E40+F40+G40+H40+I40+J40+K40+L40+M40+N40+O40+P40+Q40+X40+Z40+AE40</f>
        <v>2362826.0124999997</v>
      </c>
      <c r="AG40" s="9">
        <f>AF40/15500</f>
        <v>152.4403879032258</v>
      </c>
      <c r="AH40" s="9">
        <f>AG40/12</f>
        <v>12.70336565860215</v>
      </c>
    </row>
    <row r="41" spans="1:34" x14ac:dyDescent="0.25">
      <c r="A41" s="29" t="s">
        <v>126</v>
      </c>
      <c r="B41" s="28">
        <v>2113825</v>
      </c>
      <c r="C41" s="22">
        <f>B41+(B41*0.05)</f>
        <v>2219516.25</v>
      </c>
      <c r="D41" s="22">
        <v>25150</v>
      </c>
      <c r="E41" s="22">
        <v>0</v>
      </c>
      <c r="F41" s="20">
        <v>0</v>
      </c>
      <c r="G41" s="20">
        <v>0</v>
      </c>
      <c r="H41" s="20">
        <f>-(C41*0.11)</f>
        <v>-244146.78750000001</v>
      </c>
      <c r="I41" s="20">
        <v>0</v>
      </c>
      <c r="J41" s="9">
        <v>170148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16">
        <v>0</v>
      </c>
      <c r="S41" s="26">
        <v>15500</v>
      </c>
      <c r="T41" s="33">
        <v>0</v>
      </c>
      <c r="U41" s="33">
        <v>0</v>
      </c>
      <c r="V41" s="33">
        <v>0</v>
      </c>
      <c r="W41" s="33">
        <v>775</v>
      </c>
      <c r="X41" s="25">
        <v>0</v>
      </c>
      <c r="Y41" s="16">
        <v>15.7</v>
      </c>
      <c r="Z41" s="20">
        <f>(T41+U41+V41+W41)*Y41</f>
        <v>12167.5</v>
      </c>
      <c r="AA41" s="21">
        <v>3100</v>
      </c>
      <c r="AB41" s="21">
        <v>0</v>
      </c>
      <c r="AC41" s="33">
        <f>-(AA41*0.25)</f>
        <v>-775</v>
      </c>
      <c r="AD41" s="27">
        <v>80</v>
      </c>
      <c r="AE41" s="25">
        <f>(AA41+AB41+AC41)*AD41</f>
        <v>186000</v>
      </c>
      <c r="AF41" s="19">
        <f>C41+D41+E41+F41+G41+H41+I41+J41+K41+L41+M41+N41+O41+P41+Q41+X41+Z41+AE41</f>
        <v>2368834.9624999999</v>
      </c>
      <c r="AG41" s="9">
        <f>AF41/15500</f>
        <v>152.82806209677418</v>
      </c>
      <c r="AH41" s="9">
        <f>AG41/12</f>
        <v>12.735671841397847</v>
      </c>
    </row>
    <row r="42" spans="1:34" x14ac:dyDescent="0.25">
      <c r="A42" s="30" t="s">
        <v>176</v>
      </c>
      <c r="B42" s="28">
        <v>2113825</v>
      </c>
      <c r="C42" s="22">
        <f>B42+(B42*0.05)</f>
        <v>2219516.25</v>
      </c>
      <c r="D42" s="22">
        <v>25150</v>
      </c>
      <c r="E42" s="20">
        <f>-(C42*0.07)</f>
        <v>-155366.13750000001</v>
      </c>
      <c r="F42" s="20">
        <v>0</v>
      </c>
      <c r="G42" s="20">
        <f>-(C42*0.07)</f>
        <v>-155366.13750000001</v>
      </c>
      <c r="H42" s="20">
        <v>0</v>
      </c>
      <c r="I42" s="20">
        <v>0</v>
      </c>
      <c r="J42" s="9">
        <v>170148</v>
      </c>
      <c r="K42" s="9">
        <v>20000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f>15028*55/10</f>
        <v>82654</v>
      </c>
      <c r="R42" s="16">
        <v>0</v>
      </c>
      <c r="S42" s="26">
        <v>15028</v>
      </c>
      <c r="T42" s="33">
        <f>-(15028*0.03)</f>
        <v>-450.84</v>
      </c>
      <c r="U42" s="33">
        <v>0</v>
      </c>
      <c r="V42" s="33">
        <v>0</v>
      </c>
      <c r="W42" s="33">
        <v>751.5</v>
      </c>
      <c r="X42" s="25">
        <v>0</v>
      </c>
      <c r="Y42" s="16">
        <v>15.7</v>
      </c>
      <c r="Z42" s="20">
        <f>(T42+U42+V42+W42)*Y42</f>
        <v>4720.3620000000001</v>
      </c>
      <c r="AA42" s="21">
        <v>3006</v>
      </c>
      <c r="AB42" s="21">
        <v>0</v>
      </c>
      <c r="AC42" s="33">
        <f>-(3006*0.25)</f>
        <v>-751.5</v>
      </c>
      <c r="AD42" s="27">
        <v>80</v>
      </c>
      <c r="AE42" s="25">
        <f>(AA42+AB42+AC42)*AD42</f>
        <v>180360</v>
      </c>
      <c r="AF42" s="19">
        <f>C42+D42+E42+F42+G42+H42+I42+J42+K42+L42+M42+N42+O42+P42+Q42+X42+Z42+AE42</f>
        <v>2391816.3370000003</v>
      </c>
      <c r="AG42" s="9">
        <f>AF42/15500</f>
        <v>154.31073141935485</v>
      </c>
      <c r="AH42" s="9">
        <f>AG42/12</f>
        <v>12.85922761827957</v>
      </c>
    </row>
    <row r="43" spans="1:34" x14ac:dyDescent="0.25">
      <c r="A43" s="30" t="s">
        <v>175</v>
      </c>
      <c r="B43" s="28">
        <v>2113825</v>
      </c>
      <c r="C43" s="22">
        <f>B43+(B43*0.05)</f>
        <v>2219516.25</v>
      </c>
      <c r="D43" s="22">
        <v>25150</v>
      </c>
      <c r="E43" s="20">
        <f>-(C43*0.07)</f>
        <v>-155366.13750000001</v>
      </c>
      <c r="F43" s="20">
        <v>0</v>
      </c>
      <c r="G43" s="20">
        <f>-(C43*0.07)</f>
        <v>-155366.13750000001</v>
      </c>
      <c r="H43" s="20">
        <v>0</v>
      </c>
      <c r="I43" s="20">
        <v>0</v>
      </c>
      <c r="J43" s="9">
        <v>170148</v>
      </c>
      <c r="K43" s="9">
        <v>20000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f>15028*55/10</f>
        <v>82654</v>
      </c>
      <c r="R43" s="16">
        <v>0</v>
      </c>
      <c r="S43" s="26">
        <v>15028</v>
      </c>
      <c r="T43" s="33">
        <v>0</v>
      </c>
      <c r="U43" s="33">
        <v>0</v>
      </c>
      <c r="V43" s="33">
        <v>0</v>
      </c>
      <c r="W43" s="33">
        <v>751.5</v>
      </c>
      <c r="X43" s="25">
        <v>0</v>
      </c>
      <c r="Y43" s="16">
        <v>15.7</v>
      </c>
      <c r="Z43" s="20">
        <f>(T43+U43+V43+W43)*Y43</f>
        <v>11798.55</v>
      </c>
      <c r="AA43" s="21">
        <v>3006</v>
      </c>
      <c r="AB43" s="21">
        <v>0</v>
      </c>
      <c r="AC43" s="33">
        <f>-(3006*0.25)</f>
        <v>-751.5</v>
      </c>
      <c r="AD43" s="27">
        <v>80</v>
      </c>
      <c r="AE43" s="25">
        <f>(AA43+AB43+AC43)*AD43</f>
        <v>180360</v>
      </c>
      <c r="AF43" s="19">
        <f>C43+D43+E43+F43+G43+H43+I43+J43+K43+L43+M43+N43+O43+P43+Q43+X43+Z43+AE43</f>
        <v>2398894.5249999999</v>
      </c>
      <c r="AG43" s="9">
        <f>AF43/15500</f>
        <v>154.76738870967742</v>
      </c>
      <c r="AH43" s="9">
        <f>AG43/12</f>
        <v>12.897282392473118</v>
      </c>
    </row>
    <row r="44" spans="1:34" x14ac:dyDescent="0.25">
      <c r="A44" s="30" t="s">
        <v>98</v>
      </c>
      <c r="B44" s="28">
        <v>2113825</v>
      </c>
      <c r="C44" s="22">
        <f>B44+(B44*0.05)</f>
        <v>2219516.25</v>
      </c>
      <c r="D44" s="22">
        <v>25150</v>
      </c>
      <c r="E44" s="20">
        <f>-(C44*0.07)</f>
        <v>-155366.13750000001</v>
      </c>
      <c r="F44" s="20">
        <v>0</v>
      </c>
      <c r="G44" s="20">
        <f>-(C44*0.07)</f>
        <v>-155366.13750000001</v>
      </c>
      <c r="H44" s="20">
        <v>0</v>
      </c>
      <c r="I44" s="20">
        <v>0</v>
      </c>
      <c r="J44" s="9">
        <v>170148</v>
      </c>
      <c r="K44" s="9">
        <v>20000</v>
      </c>
      <c r="L44" s="9">
        <v>0</v>
      </c>
      <c r="M44" s="9">
        <v>0</v>
      </c>
      <c r="N44" s="9">
        <v>0</v>
      </c>
      <c r="O44" s="9">
        <v>0</v>
      </c>
      <c r="P44" s="9">
        <v>85250</v>
      </c>
      <c r="Q44" s="9">
        <v>0</v>
      </c>
      <c r="R44" s="16">
        <v>0</v>
      </c>
      <c r="S44" s="26">
        <v>15500</v>
      </c>
      <c r="T44" s="33">
        <f>-(S44*0.03)</f>
        <v>-465</v>
      </c>
      <c r="U44" s="33">
        <v>0</v>
      </c>
      <c r="V44" s="33">
        <v>0</v>
      </c>
      <c r="W44" s="33">
        <v>775</v>
      </c>
      <c r="X44" s="25">
        <v>0</v>
      </c>
      <c r="Y44" s="16">
        <v>15.7</v>
      </c>
      <c r="Z44" s="20">
        <f>(T44+U44+V44+W44)*Y44</f>
        <v>4867</v>
      </c>
      <c r="AA44" s="21">
        <v>3100</v>
      </c>
      <c r="AB44" s="21">
        <v>0</v>
      </c>
      <c r="AC44" s="33">
        <v>-775</v>
      </c>
      <c r="AD44" s="27">
        <v>80</v>
      </c>
      <c r="AE44" s="25">
        <f>(AA44+AB44+AC44)*AD44</f>
        <v>186000</v>
      </c>
      <c r="AF44" s="19">
        <f>C44+D44+E44+F44+G44+H44+I44+J44+K44+L44+M44+N44+O44+P44+Q44+X44+Z44+AE44</f>
        <v>2400198.9750000001</v>
      </c>
      <c r="AG44" s="9">
        <f>AF44/15500</f>
        <v>154.85154677419357</v>
      </c>
      <c r="AH44" s="9">
        <f>AG44/12</f>
        <v>12.904295564516131</v>
      </c>
    </row>
    <row r="45" spans="1:34" x14ac:dyDescent="0.25">
      <c r="A45" s="30" t="s">
        <v>97</v>
      </c>
      <c r="B45" s="28">
        <v>2113825</v>
      </c>
      <c r="C45" s="22">
        <f>B45+(B45*0.05)</f>
        <v>2219516.25</v>
      </c>
      <c r="D45" s="22">
        <v>25150</v>
      </c>
      <c r="E45" s="20">
        <f>-(C45*0.07)</f>
        <v>-155366.13750000001</v>
      </c>
      <c r="F45" s="20">
        <v>0</v>
      </c>
      <c r="G45" s="20">
        <f>-(C45*0.07)</f>
        <v>-155366.13750000001</v>
      </c>
      <c r="H45" s="20">
        <v>0</v>
      </c>
      <c r="I45" s="20">
        <v>0</v>
      </c>
      <c r="J45" s="9">
        <v>170148</v>
      </c>
      <c r="K45" s="9">
        <v>20000</v>
      </c>
      <c r="L45" s="9">
        <v>0</v>
      </c>
      <c r="M45" s="9">
        <v>0</v>
      </c>
      <c r="N45" s="9">
        <v>0</v>
      </c>
      <c r="O45" s="9">
        <v>0</v>
      </c>
      <c r="P45" s="9">
        <v>85250</v>
      </c>
      <c r="Q45" s="9">
        <v>0</v>
      </c>
      <c r="R45" s="16">
        <v>0</v>
      </c>
      <c r="S45" s="26">
        <v>15500</v>
      </c>
      <c r="T45" s="33">
        <v>0</v>
      </c>
      <c r="U45" s="33">
        <v>0</v>
      </c>
      <c r="V45" s="33">
        <v>0</v>
      </c>
      <c r="W45" s="33">
        <v>775</v>
      </c>
      <c r="X45" s="25">
        <v>0</v>
      </c>
      <c r="Y45" s="16">
        <v>15.7</v>
      </c>
      <c r="Z45" s="20">
        <f>(T45+U45+V45+W45)*Y45</f>
        <v>12167.5</v>
      </c>
      <c r="AA45" s="21">
        <v>3100</v>
      </c>
      <c r="AB45" s="21">
        <v>0</v>
      </c>
      <c r="AC45" s="33">
        <v>-775</v>
      </c>
      <c r="AD45" s="27">
        <v>80</v>
      </c>
      <c r="AE45" s="25">
        <f>(AA45+AB45+AC45)*AD45</f>
        <v>186000</v>
      </c>
      <c r="AF45" s="19">
        <f>C45+D45+E45+F45+G45+H45+I45+J45+K45+L45+M45+N45+O45+P45+Q45+X45+Z45+AE45</f>
        <v>2407499.4750000001</v>
      </c>
      <c r="AG45" s="9">
        <f>AF45/15500</f>
        <v>155.32254677419354</v>
      </c>
      <c r="AH45" s="9">
        <f>AG45/12</f>
        <v>12.943545564516128</v>
      </c>
    </row>
    <row r="46" spans="1:34" x14ac:dyDescent="0.25">
      <c r="A46" s="29" t="s">
        <v>144</v>
      </c>
      <c r="B46" s="28">
        <v>2113825</v>
      </c>
      <c r="C46" s="22">
        <f>B46+(B46*0.05)</f>
        <v>2219516.25</v>
      </c>
      <c r="D46" s="22">
        <v>25150</v>
      </c>
      <c r="E46" s="22">
        <v>0</v>
      </c>
      <c r="F46" s="20">
        <f>-(C46*0.037)</f>
        <v>-82122.101249999992</v>
      </c>
      <c r="G46" s="20">
        <v>0</v>
      </c>
      <c r="H46" s="20">
        <v>0</v>
      </c>
      <c r="I46" s="20">
        <f>-(C46*0.07)</f>
        <v>-155366.13750000001</v>
      </c>
      <c r="J46" s="9">
        <v>240572</v>
      </c>
      <c r="K46" s="9">
        <f>4000*3</f>
        <v>12000</v>
      </c>
      <c r="L46" s="9">
        <v>0</v>
      </c>
      <c r="M46" s="9">
        <v>0</v>
      </c>
      <c r="N46" s="9">
        <v>0</v>
      </c>
      <c r="O46" s="9">
        <f>15028*50/10</f>
        <v>75140</v>
      </c>
      <c r="P46" s="9">
        <v>0</v>
      </c>
      <c r="Q46" s="9">
        <v>0</v>
      </c>
      <c r="R46" s="16">
        <v>0</v>
      </c>
      <c r="S46" s="26">
        <v>15028</v>
      </c>
      <c r="T46" s="33">
        <v>0</v>
      </c>
      <c r="U46" s="33">
        <f>-(S46*0.05)</f>
        <v>-751.40000000000009</v>
      </c>
      <c r="V46" s="33">
        <v>-90.18</v>
      </c>
      <c r="W46" s="33">
        <v>0</v>
      </c>
      <c r="X46" s="25">
        <v>0</v>
      </c>
      <c r="Y46" s="16">
        <v>15.7</v>
      </c>
      <c r="Z46" s="20">
        <f>(T46+U46+V46+W46)*Y46</f>
        <v>-13212.806000000002</v>
      </c>
      <c r="AA46" s="21">
        <v>3006</v>
      </c>
      <c r="AB46" s="21">
        <f>3006*0.03</f>
        <v>90.179999999999993</v>
      </c>
      <c r="AC46" s="33">
        <v>0</v>
      </c>
      <c r="AD46" s="27">
        <v>45</v>
      </c>
      <c r="AE46" s="25">
        <f>(AA46+AB46+AC46)*AD46</f>
        <v>139328.1</v>
      </c>
      <c r="AF46" s="19">
        <f>C46+D46+E46+F46+G46+H46+I46+J46+K46+L46+M46+N46+O46+P46+Q46+X46+Z46+AE46</f>
        <v>2461005.3052500007</v>
      </c>
      <c r="AG46" s="9">
        <f>AF46/15500</f>
        <v>158.7745358225807</v>
      </c>
      <c r="AH46" s="9">
        <f>AG46/12</f>
        <v>13.231211318548391</v>
      </c>
    </row>
    <row r="47" spans="1:34" x14ac:dyDescent="0.25">
      <c r="A47" s="29" t="s">
        <v>116</v>
      </c>
      <c r="B47" s="28">
        <v>2113825</v>
      </c>
      <c r="C47" s="22">
        <f>B47+(B47*0.05)</f>
        <v>2219516.25</v>
      </c>
      <c r="D47" s="22">
        <v>25150</v>
      </c>
      <c r="E47" s="22">
        <v>0</v>
      </c>
      <c r="F47" s="20">
        <f>-(C47*0.037)</f>
        <v>-82122.101249999992</v>
      </c>
      <c r="G47" s="20">
        <v>0</v>
      </c>
      <c r="H47" s="20">
        <v>0</v>
      </c>
      <c r="I47" s="20">
        <f>-(C47*0.07)</f>
        <v>-155366.13750000001</v>
      </c>
      <c r="J47" s="9">
        <v>240572</v>
      </c>
      <c r="K47" s="9">
        <f>4000*3</f>
        <v>12000</v>
      </c>
      <c r="L47" s="9">
        <v>0</v>
      </c>
      <c r="M47" s="9">
        <v>0</v>
      </c>
      <c r="N47" s="9">
        <f>15500*50/10</f>
        <v>77500</v>
      </c>
      <c r="O47" s="9">
        <v>0</v>
      </c>
      <c r="P47" s="9">
        <v>0</v>
      </c>
      <c r="Q47" s="9">
        <v>0</v>
      </c>
      <c r="R47" s="16">
        <v>0</v>
      </c>
      <c r="S47" s="26">
        <v>15500</v>
      </c>
      <c r="T47" s="33">
        <v>0</v>
      </c>
      <c r="U47" s="33">
        <f>-(15500*0.05)</f>
        <v>-775</v>
      </c>
      <c r="V47" s="33">
        <v>-93</v>
      </c>
      <c r="W47" s="33">
        <v>0</v>
      </c>
      <c r="X47" s="25">
        <v>0</v>
      </c>
      <c r="Y47" s="16">
        <v>15.7</v>
      </c>
      <c r="Z47" s="20">
        <f>(T47+U47+V47+W47)*Y47</f>
        <v>-13627.599999999999</v>
      </c>
      <c r="AA47" s="21">
        <v>3100</v>
      </c>
      <c r="AB47" s="21">
        <f>AA47*0.03</f>
        <v>93</v>
      </c>
      <c r="AC47" s="33">
        <v>0</v>
      </c>
      <c r="AD47" s="27">
        <v>45</v>
      </c>
      <c r="AE47" s="25">
        <f>(AA47+AB47+AC47)*AD47</f>
        <v>143685</v>
      </c>
      <c r="AF47" s="19">
        <f>C47+D47+E47+F47+G47+H47+I47+J47+K47+L47+M47+N47+O47+P47+Q47+X47+Z47+AE47</f>
        <v>2467307.4112500004</v>
      </c>
      <c r="AG47" s="9">
        <f>AF47/15500</f>
        <v>159.18112330645164</v>
      </c>
      <c r="AH47" s="9">
        <f>AG47/12</f>
        <v>13.26509360887097</v>
      </c>
    </row>
    <row r="48" spans="1:34" x14ac:dyDescent="0.25">
      <c r="A48" s="29" t="s">
        <v>140</v>
      </c>
      <c r="B48" s="28">
        <v>2113825</v>
      </c>
      <c r="C48" s="22">
        <f>B48+(B48*0.05)</f>
        <v>2219516.25</v>
      </c>
      <c r="D48" s="22">
        <v>25150</v>
      </c>
      <c r="E48" s="22">
        <v>0</v>
      </c>
      <c r="F48" s="20">
        <f>-(C48*0.037)</f>
        <v>-82122.101249999992</v>
      </c>
      <c r="G48" s="20">
        <v>0</v>
      </c>
      <c r="H48" s="20">
        <v>0</v>
      </c>
      <c r="I48" s="20">
        <v>0</v>
      </c>
      <c r="J48" s="9">
        <v>240572</v>
      </c>
      <c r="K48" s="9">
        <f>4000*3</f>
        <v>12000</v>
      </c>
      <c r="L48" s="9">
        <v>0</v>
      </c>
      <c r="M48" s="9">
        <v>0</v>
      </c>
      <c r="N48" s="9">
        <v>0</v>
      </c>
      <c r="O48" s="9">
        <f>15028*50/10</f>
        <v>75140</v>
      </c>
      <c r="P48" s="9">
        <v>0</v>
      </c>
      <c r="Q48" s="9">
        <v>0</v>
      </c>
      <c r="R48" s="16">
        <v>0</v>
      </c>
      <c r="S48" s="26">
        <v>15028</v>
      </c>
      <c r="T48" s="33">
        <f>-(S48*0.03)</f>
        <v>-450.84</v>
      </c>
      <c r="U48" s="33">
        <v>0</v>
      </c>
      <c r="V48" s="33">
        <v>-90.18</v>
      </c>
      <c r="W48" s="33">
        <v>0</v>
      </c>
      <c r="X48" s="25">
        <v>0</v>
      </c>
      <c r="Y48" s="16">
        <v>15.7</v>
      </c>
      <c r="Z48" s="20">
        <f>(T48+U48+V48+W48)*Y48</f>
        <v>-8494.0139999999992</v>
      </c>
      <c r="AA48" s="21">
        <v>3006</v>
      </c>
      <c r="AB48" s="21">
        <f>3006*0.03</f>
        <v>90.179999999999993</v>
      </c>
      <c r="AC48" s="33">
        <v>0</v>
      </c>
      <c r="AD48" s="27">
        <v>0</v>
      </c>
      <c r="AE48" s="25">
        <f>(AA48+AB48+AC48)*AD48</f>
        <v>0</v>
      </c>
      <c r="AF48" s="19">
        <f>C48+D48+E48+F48+G48+H48+I48+J48+K48+L48+M48+N48+O48+P48+Q48+X48+Z48+AE48</f>
        <v>2481762.1347500002</v>
      </c>
      <c r="AG48" s="9">
        <f>AF48/15500</f>
        <v>160.11368611290325</v>
      </c>
      <c r="AH48" s="9">
        <f>AG48/12</f>
        <v>13.34280717607527</v>
      </c>
    </row>
    <row r="49" spans="1:34" x14ac:dyDescent="0.25">
      <c r="A49" s="29" t="s">
        <v>112</v>
      </c>
      <c r="B49" s="28">
        <v>2113825</v>
      </c>
      <c r="C49" s="22">
        <f>B49+(B49*0.05)</f>
        <v>2219516.25</v>
      </c>
      <c r="D49" s="22">
        <v>25150</v>
      </c>
      <c r="E49" s="22">
        <v>0</v>
      </c>
      <c r="F49" s="20">
        <f>-(C49*0.037)</f>
        <v>-82122.101249999992</v>
      </c>
      <c r="G49" s="20">
        <v>0</v>
      </c>
      <c r="H49" s="20">
        <v>0</v>
      </c>
      <c r="I49" s="20">
        <v>0</v>
      </c>
      <c r="J49" s="9">
        <v>240572</v>
      </c>
      <c r="K49" s="9">
        <f>4000*3</f>
        <v>12000</v>
      </c>
      <c r="L49" s="9">
        <v>0</v>
      </c>
      <c r="M49" s="9">
        <v>0</v>
      </c>
      <c r="N49" s="9">
        <f>15500*50/10</f>
        <v>77500</v>
      </c>
      <c r="O49" s="9">
        <v>0</v>
      </c>
      <c r="P49" s="9">
        <v>0</v>
      </c>
      <c r="Q49" s="9">
        <v>0</v>
      </c>
      <c r="R49" s="16">
        <v>0</v>
      </c>
      <c r="S49" s="26">
        <v>15500</v>
      </c>
      <c r="T49" s="33">
        <f>-(S49*0.03)</f>
        <v>-465</v>
      </c>
      <c r="U49" s="33">
        <v>0</v>
      </c>
      <c r="V49" s="33">
        <v>-93</v>
      </c>
      <c r="W49" s="33">
        <v>0</v>
      </c>
      <c r="X49" s="25">
        <v>0</v>
      </c>
      <c r="Y49" s="16">
        <v>15.7</v>
      </c>
      <c r="Z49" s="20">
        <f>(T49+U49+V49+W49)*Y49</f>
        <v>-8760.6</v>
      </c>
      <c r="AA49" s="21">
        <v>3100</v>
      </c>
      <c r="AB49" s="21">
        <f>AA49*0.03</f>
        <v>93</v>
      </c>
      <c r="AC49" s="33">
        <v>0</v>
      </c>
      <c r="AD49" s="27">
        <v>0</v>
      </c>
      <c r="AE49" s="25">
        <f>(AA49+AB49+AC49)*AD49</f>
        <v>0</v>
      </c>
      <c r="AF49" s="19">
        <f>C49+D49+E49+F49+G49+H49+I49+J49+K49+L49+M49+N49+O49+P49+Q49+X49+Z49+AE49</f>
        <v>2483855.5487500001</v>
      </c>
      <c r="AG49" s="9">
        <f>AF49/15500</f>
        <v>160.24874508064516</v>
      </c>
      <c r="AH49" s="9">
        <f>AG49/12</f>
        <v>13.354062090053764</v>
      </c>
    </row>
    <row r="50" spans="1:34" x14ac:dyDescent="0.25">
      <c r="A50" s="29" t="s">
        <v>139</v>
      </c>
      <c r="B50" s="28">
        <v>2113825</v>
      </c>
      <c r="C50" s="22">
        <f>B50+(B50*0.05)</f>
        <v>2219516.25</v>
      </c>
      <c r="D50" s="22">
        <v>25150</v>
      </c>
      <c r="E50" s="22">
        <v>0</v>
      </c>
      <c r="F50" s="20">
        <f>-(C50*0.037)</f>
        <v>-82122.101249999992</v>
      </c>
      <c r="G50" s="20">
        <v>0</v>
      </c>
      <c r="H50" s="20">
        <v>0</v>
      </c>
      <c r="I50" s="20">
        <v>0</v>
      </c>
      <c r="J50" s="9">
        <v>240572</v>
      </c>
      <c r="K50" s="9">
        <f>4000*3</f>
        <v>12000</v>
      </c>
      <c r="L50" s="9">
        <v>0</v>
      </c>
      <c r="M50" s="9">
        <v>0</v>
      </c>
      <c r="N50" s="9">
        <v>0</v>
      </c>
      <c r="O50" s="9">
        <f>15028*50/10</f>
        <v>75140</v>
      </c>
      <c r="P50" s="9">
        <v>0</v>
      </c>
      <c r="Q50" s="9">
        <v>0</v>
      </c>
      <c r="R50" s="16">
        <v>0</v>
      </c>
      <c r="S50" s="26">
        <v>15028</v>
      </c>
      <c r="T50" s="33">
        <v>0</v>
      </c>
      <c r="U50" s="33">
        <v>0</v>
      </c>
      <c r="V50" s="33">
        <v>-90.18</v>
      </c>
      <c r="W50" s="33">
        <v>0</v>
      </c>
      <c r="X50" s="25">
        <v>0</v>
      </c>
      <c r="Y50" s="16">
        <v>15.7</v>
      </c>
      <c r="Z50" s="20">
        <f>(T50+U50+V50+W50)*Y50</f>
        <v>-1415.826</v>
      </c>
      <c r="AA50" s="21">
        <v>3006</v>
      </c>
      <c r="AB50" s="21">
        <f>3006*0.03</f>
        <v>90.179999999999993</v>
      </c>
      <c r="AC50" s="33">
        <v>0</v>
      </c>
      <c r="AD50" s="27">
        <v>0</v>
      </c>
      <c r="AE50" s="25">
        <f>(AA50+AB50+AC50)*AD50</f>
        <v>0</v>
      </c>
      <c r="AF50" s="19">
        <f>C50+D50+E50+F50+G50+H50+I50+J50+K50+L50+M50+N50+O50+P50+Q50+X50+Z50+AE50</f>
        <v>2488840.3227500003</v>
      </c>
      <c r="AG50" s="9">
        <f>AF50/15500</f>
        <v>160.57034340322582</v>
      </c>
      <c r="AH50" s="9">
        <f>AG50/12</f>
        <v>13.380861950268818</v>
      </c>
    </row>
    <row r="51" spans="1:34" x14ac:dyDescent="0.25">
      <c r="A51" s="30" t="s">
        <v>165</v>
      </c>
      <c r="B51" s="28">
        <v>2113825</v>
      </c>
      <c r="C51" s="22">
        <f>B51+(B51*0.05)</f>
        <v>2219516.25</v>
      </c>
      <c r="D51" s="22">
        <v>25150</v>
      </c>
      <c r="E51" s="20">
        <f>-(C51*0.07)</f>
        <v>-155366.13750000001</v>
      </c>
      <c r="F51" s="20">
        <v>0</v>
      </c>
      <c r="G51" s="20">
        <v>0</v>
      </c>
      <c r="H51" s="20">
        <v>0</v>
      </c>
      <c r="I51" s="20">
        <f>-(C51*0.07)</f>
        <v>-155366.13750000001</v>
      </c>
      <c r="J51" s="9">
        <v>240572</v>
      </c>
      <c r="K51" s="9">
        <f>4000*8</f>
        <v>32000</v>
      </c>
      <c r="L51" s="9">
        <v>0</v>
      </c>
      <c r="M51" s="9">
        <v>0</v>
      </c>
      <c r="N51" s="9">
        <v>0</v>
      </c>
      <c r="O51" s="9">
        <f>15028*50/10</f>
        <v>75140</v>
      </c>
      <c r="P51" s="9">
        <v>0</v>
      </c>
      <c r="Q51" s="9">
        <f>15028*55/10</f>
        <v>82654</v>
      </c>
      <c r="R51" s="16">
        <v>0</v>
      </c>
      <c r="S51" s="26">
        <v>15028</v>
      </c>
      <c r="T51" s="33">
        <v>0</v>
      </c>
      <c r="U51" s="33">
        <f>-(15028*0.05)</f>
        <v>-751.40000000000009</v>
      </c>
      <c r="V51" s="33">
        <v>-90.18</v>
      </c>
      <c r="W51" s="33">
        <v>0</v>
      </c>
      <c r="X51" s="25">
        <v>0</v>
      </c>
      <c r="Y51" s="16">
        <v>15.7</v>
      </c>
      <c r="Z51" s="20">
        <f>(T51+U51+V51+W51)*Y51</f>
        <v>-13212.806000000002</v>
      </c>
      <c r="AA51" s="21">
        <v>3006</v>
      </c>
      <c r="AB51" s="21">
        <f>3006*0.03</f>
        <v>90.179999999999993</v>
      </c>
      <c r="AC51" s="33">
        <v>0</v>
      </c>
      <c r="AD51" s="27">
        <v>45</v>
      </c>
      <c r="AE51" s="25">
        <f>(AA51+AB51+AC51)*AD51</f>
        <v>139328.1</v>
      </c>
      <c r="AF51" s="19">
        <f>C51+D51+E51+F51+G51+H51+I51+J51+K51+L51+M51+N51+O51+P51+Q51+X51+Z51+AE51</f>
        <v>2490415.2690000003</v>
      </c>
      <c r="AG51" s="9">
        <f>AF51/15500</f>
        <v>160.6719528387097</v>
      </c>
      <c r="AH51" s="9">
        <f>AG51/12</f>
        <v>13.389329403225808</v>
      </c>
    </row>
    <row r="52" spans="1:34" x14ac:dyDescent="0.25">
      <c r="A52" s="29" t="s">
        <v>111</v>
      </c>
      <c r="B52" s="28">
        <v>2113825</v>
      </c>
      <c r="C52" s="22">
        <f>B52+(B52*0.05)</f>
        <v>2219516.25</v>
      </c>
      <c r="D52" s="22">
        <v>25150</v>
      </c>
      <c r="E52" s="22">
        <v>0</v>
      </c>
      <c r="F52" s="20">
        <f>-(C52*0.037)</f>
        <v>-82122.101249999992</v>
      </c>
      <c r="G52" s="20">
        <v>0</v>
      </c>
      <c r="H52" s="20">
        <v>0</v>
      </c>
      <c r="I52" s="20">
        <v>0</v>
      </c>
      <c r="J52" s="9">
        <v>240572</v>
      </c>
      <c r="K52" s="9">
        <f>4000*3</f>
        <v>12000</v>
      </c>
      <c r="L52" s="9">
        <v>0</v>
      </c>
      <c r="M52" s="9">
        <v>0</v>
      </c>
      <c r="N52" s="9">
        <f>15500*50/10</f>
        <v>77500</v>
      </c>
      <c r="O52" s="9">
        <v>0</v>
      </c>
      <c r="P52" s="9">
        <v>0</v>
      </c>
      <c r="Q52" s="9">
        <v>0</v>
      </c>
      <c r="R52" s="16">
        <v>0</v>
      </c>
      <c r="S52" s="26">
        <v>15500</v>
      </c>
      <c r="T52" s="33">
        <v>0</v>
      </c>
      <c r="U52" s="33">
        <v>0</v>
      </c>
      <c r="V52" s="33">
        <v>-93</v>
      </c>
      <c r="W52" s="33">
        <v>0</v>
      </c>
      <c r="X52" s="25">
        <v>0</v>
      </c>
      <c r="Y52" s="16">
        <v>15.7</v>
      </c>
      <c r="Z52" s="20">
        <f>(T52+U52+V52+W52)*Y52</f>
        <v>-1460.1</v>
      </c>
      <c r="AA52" s="21">
        <v>3100</v>
      </c>
      <c r="AB52" s="21">
        <f>AA52*0.03</f>
        <v>93</v>
      </c>
      <c r="AC52" s="33">
        <v>0</v>
      </c>
      <c r="AD52" s="27">
        <v>0</v>
      </c>
      <c r="AE52" s="25">
        <f>(AA52+AB52+AC52)*AD52</f>
        <v>0</v>
      </c>
      <c r="AF52" s="19">
        <f>C52+D52+E52+F52+G52+H52+I52+J52+K52+L52+M52+N52+O52+P52+Q52+X52+Z52+AE52</f>
        <v>2491156.0487500001</v>
      </c>
      <c r="AG52" s="9">
        <f>AF52/15500</f>
        <v>160.71974508064517</v>
      </c>
      <c r="AH52" s="9">
        <f>AG52/12</f>
        <v>13.393312090053763</v>
      </c>
    </row>
    <row r="53" spans="1:34" x14ac:dyDescent="0.25">
      <c r="A53" s="30" t="s">
        <v>81</v>
      </c>
      <c r="B53" s="28">
        <v>2113825</v>
      </c>
      <c r="C53" s="22">
        <f>B53+(B53*0.05)</f>
        <v>2219516.25</v>
      </c>
      <c r="D53" s="22">
        <v>25150</v>
      </c>
      <c r="E53" s="20">
        <f>-(C53*0.07)</f>
        <v>-155366.13750000001</v>
      </c>
      <c r="F53" s="20">
        <v>0</v>
      </c>
      <c r="G53" s="20">
        <v>0</v>
      </c>
      <c r="H53" s="20">
        <v>0</v>
      </c>
      <c r="I53" s="20">
        <f>-(C53*0.07)</f>
        <v>-155366.13750000001</v>
      </c>
      <c r="J53" s="9">
        <v>240572</v>
      </c>
      <c r="K53" s="9">
        <f>4000*8</f>
        <v>32000</v>
      </c>
      <c r="L53" s="9">
        <v>0</v>
      </c>
      <c r="M53" s="9">
        <v>0</v>
      </c>
      <c r="N53" s="9">
        <f>15500*50/10</f>
        <v>77500</v>
      </c>
      <c r="O53" s="9">
        <v>0</v>
      </c>
      <c r="P53" s="9">
        <v>85250</v>
      </c>
      <c r="Q53" s="9">
        <v>0</v>
      </c>
      <c r="R53" s="16">
        <v>0</v>
      </c>
      <c r="S53" s="26">
        <v>15500</v>
      </c>
      <c r="T53" s="33">
        <v>0</v>
      </c>
      <c r="U53" s="33">
        <f>-(15500*0.05)</f>
        <v>-775</v>
      </c>
      <c r="V53" s="33">
        <v>-93</v>
      </c>
      <c r="W53" s="33">
        <v>0</v>
      </c>
      <c r="X53" s="25">
        <v>0</v>
      </c>
      <c r="Y53" s="16">
        <v>15.7</v>
      </c>
      <c r="Z53" s="20">
        <f>(T53+U53+V53+W53)*Y53</f>
        <v>-13627.599999999999</v>
      </c>
      <c r="AA53" s="21">
        <v>3100</v>
      </c>
      <c r="AB53" s="21">
        <f>AA53*0.03</f>
        <v>93</v>
      </c>
      <c r="AC53" s="33">
        <v>0</v>
      </c>
      <c r="AD53" s="27">
        <v>45</v>
      </c>
      <c r="AE53" s="25">
        <f>(AA53+AB53+AC53)*AD53</f>
        <v>143685</v>
      </c>
      <c r="AF53" s="19">
        <f>C53+D53+E53+F53+G53+H53+I53+J53+K53+L53+M53+N53+O53+P53+Q53+X53+Z53+AE53</f>
        <v>2499313.375</v>
      </c>
      <c r="AG53" s="9">
        <f>AF53/15500</f>
        <v>161.24602419354838</v>
      </c>
      <c r="AH53" s="9">
        <f>AG53/12</f>
        <v>13.437168682795699</v>
      </c>
    </row>
    <row r="54" spans="1:34" x14ac:dyDescent="0.25">
      <c r="A54" s="29" t="s">
        <v>131</v>
      </c>
      <c r="B54" s="28">
        <v>2113825</v>
      </c>
      <c r="C54" s="22">
        <f>B54+(B54*0.05)</f>
        <v>2219516.25</v>
      </c>
      <c r="D54" s="22">
        <v>25150</v>
      </c>
      <c r="E54" s="22">
        <v>0</v>
      </c>
      <c r="F54" s="20">
        <v>0</v>
      </c>
      <c r="G54" s="20">
        <v>0</v>
      </c>
      <c r="H54" s="20">
        <v>0</v>
      </c>
      <c r="I54" s="20">
        <f>-(C54*0.07)</f>
        <v>-155366.13750000001</v>
      </c>
      <c r="J54" s="9">
        <v>240572</v>
      </c>
      <c r="K54" s="9">
        <v>0</v>
      </c>
      <c r="L54" s="9">
        <v>0</v>
      </c>
      <c r="M54" s="9">
        <f>15779*60/5</f>
        <v>189348</v>
      </c>
      <c r="N54" s="9">
        <v>0</v>
      </c>
      <c r="O54" s="9">
        <v>0</v>
      </c>
      <c r="P54" s="9">
        <v>0</v>
      </c>
      <c r="Q54" s="9">
        <v>0</v>
      </c>
      <c r="R54" s="16">
        <v>0</v>
      </c>
      <c r="S54" s="26">
        <v>15028</v>
      </c>
      <c r="T54" s="33">
        <v>0</v>
      </c>
      <c r="U54" s="33">
        <f>-(S54*0.05)</f>
        <v>-751.40000000000009</v>
      </c>
      <c r="V54" s="33">
        <v>0</v>
      </c>
      <c r="W54" s="33">
        <v>0</v>
      </c>
      <c r="X54" s="25">
        <v>0</v>
      </c>
      <c r="Y54" s="16">
        <v>15.7</v>
      </c>
      <c r="Z54" s="20">
        <f>(T54+U54+V54+W54)*Y54</f>
        <v>-11796.980000000001</v>
      </c>
      <c r="AA54" s="21">
        <v>3006</v>
      </c>
      <c r="AB54" s="21">
        <v>0</v>
      </c>
      <c r="AC54" s="33">
        <v>0</v>
      </c>
      <c r="AD54" s="27">
        <v>0</v>
      </c>
      <c r="AE54" s="25">
        <f>(AA54+AB54+AC54)*AD54</f>
        <v>0</v>
      </c>
      <c r="AF54" s="19">
        <f>C54+D54+E54+F54+G54+H54+I54+J54+K54+L54+M54+N54+O54+P54+Q54+X54+Z54+AE54</f>
        <v>2507423.1324999998</v>
      </c>
      <c r="AG54" s="9">
        <f>AF54/15500</f>
        <v>161.76923435483869</v>
      </c>
      <c r="AH54" s="9">
        <f>AG54/12</f>
        <v>13.480769529569891</v>
      </c>
    </row>
    <row r="55" spans="1:34" x14ac:dyDescent="0.25">
      <c r="A55" s="30" t="s">
        <v>161</v>
      </c>
      <c r="B55" s="28">
        <v>2113825</v>
      </c>
      <c r="C55" s="22">
        <f>B55+(B55*0.05)</f>
        <v>2219516.25</v>
      </c>
      <c r="D55" s="22">
        <v>25150</v>
      </c>
      <c r="E55" s="20">
        <f>-(C55*0.07)</f>
        <v>-155366.13750000001</v>
      </c>
      <c r="F55" s="20">
        <v>0</v>
      </c>
      <c r="G55" s="20">
        <v>0</v>
      </c>
      <c r="H55" s="20">
        <v>0</v>
      </c>
      <c r="I55" s="20">
        <v>0</v>
      </c>
      <c r="J55" s="9">
        <v>240572</v>
      </c>
      <c r="K55" s="9">
        <f>4000*8</f>
        <v>32000</v>
      </c>
      <c r="L55" s="9">
        <v>0</v>
      </c>
      <c r="M55" s="9">
        <v>0</v>
      </c>
      <c r="N55" s="9">
        <v>0</v>
      </c>
      <c r="O55" s="9">
        <f>15028*50/10</f>
        <v>75140</v>
      </c>
      <c r="P55" s="9">
        <v>0</v>
      </c>
      <c r="Q55" s="9">
        <f>15028*55/10</f>
        <v>82654</v>
      </c>
      <c r="R55" s="16">
        <v>0</v>
      </c>
      <c r="S55" s="26">
        <v>15028</v>
      </c>
      <c r="T55" s="33">
        <f>-(15028*0.03)</f>
        <v>-450.84</v>
      </c>
      <c r="U55" s="33">
        <v>0</v>
      </c>
      <c r="V55" s="33">
        <v>-90.18</v>
      </c>
      <c r="W55" s="33">
        <v>0</v>
      </c>
      <c r="X55" s="25">
        <v>0</v>
      </c>
      <c r="Y55" s="16">
        <v>15.7</v>
      </c>
      <c r="Z55" s="20">
        <f>(T55+U55+V55+W55)*Y55</f>
        <v>-8494.0139999999992</v>
      </c>
      <c r="AA55" s="21">
        <v>3006</v>
      </c>
      <c r="AB55" s="21">
        <f>3006*0.03</f>
        <v>90.179999999999993</v>
      </c>
      <c r="AC55" s="33">
        <v>0</v>
      </c>
      <c r="AD55" s="27">
        <v>0</v>
      </c>
      <c r="AE55" s="25">
        <f>(AA55+AB55+AC55)*AD55</f>
        <v>0</v>
      </c>
      <c r="AF55" s="19">
        <f>C55+D55+E55+F55+G55+H55+I55+J55+K55+L55+M55+N55+O55+P55+Q55+X55+Z55+AE55</f>
        <v>2511172.0984999998</v>
      </c>
      <c r="AG55" s="9">
        <f>AF55/15500</f>
        <v>162.01110312903225</v>
      </c>
      <c r="AH55" s="9">
        <f>AG55/12</f>
        <v>13.500925260752688</v>
      </c>
    </row>
    <row r="56" spans="1:34" x14ac:dyDescent="0.25">
      <c r="A56" s="29" t="s">
        <v>104</v>
      </c>
      <c r="B56" s="28">
        <v>2113825</v>
      </c>
      <c r="C56" s="22">
        <f>B56+(B56*0.05)</f>
        <v>2219516.25</v>
      </c>
      <c r="D56" s="22">
        <v>25150</v>
      </c>
      <c r="E56" s="22">
        <v>0</v>
      </c>
      <c r="F56" s="20">
        <v>0</v>
      </c>
      <c r="G56" s="20">
        <v>0</v>
      </c>
      <c r="H56" s="20">
        <v>0</v>
      </c>
      <c r="I56" s="20">
        <f>-(C56*0.07)</f>
        <v>-155366.13750000001</v>
      </c>
      <c r="J56" s="9">
        <v>240572</v>
      </c>
      <c r="K56" s="9">
        <v>0</v>
      </c>
      <c r="L56" s="9">
        <f>16275*60/5</f>
        <v>195300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16">
        <v>0</v>
      </c>
      <c r="S56" s="26">
        <v>15500</v>
      </c>
      <c r="T56" s="33">
        <v>0</v>
      </c>
      <c r="U56" s="33">
        <f>-(15500*0.05)</f>
        <v>-775</v>
      </c>
      <c r="V56" s="33">
        <v>0</v>
      </c>
      <c r="W56" s="33">
        <v>0</v>
      </c>
      <c r="X56" s="25">
        <v>0</v>
      </c>
      <c r="Y56" s="16">
        <v>15.7</v>
      </c>
      <c r="Z56" s="20">
        <f>(T56+U56+V56+W56)*Y56</f>
        <v>-12167.5</v>
      </c>
      <c r="AA56" s="21">
        <v>3100</v>
      </c>
      <c r="AB56" s="21">
        <v>0</v>
      </c>
      <c r="AC56" s="33">
        <v>0</v>
      </c>
      <c r="AD56" s="27">
        <v>0</v>
      </c>
      <c r="AE56" s="25">
        <f>(AA56+AB56+AC56)*AD56</f>
        <v>0</v>
      </c>
      <c r="AF56" s="19">
        <f>C56+D56+E56+F56+G56+H56+I56+J56+K56+L56+M56+N56+O56+P56+Q56+X56+Z56+AE56</f>
        <v>2513004.6124999998</v>
      </c>
      <c r="AG56" s="9">
        <f>AF56/15500</f>
        <v>162.12932983870965</v>
      </c>
      <c r="AH56" s="9">
        <f>AG56/12</f>
        <v>13.510777486559137</v>
      </c>
    </row>
    <row r="57" spans="1:34" x14ac:dyDescent="0.25">
      <c r="A57" s="30" t="s">
        <v>75</v>
      </c>
      <c r="B57" s="28">
        <v>2113825</v>
      </c>
      <c r="C57" s="22">
        <f>B57+(B57*0.05)</f>
        <v>2219516.25</v>
      </c>
      <c r="D57" s="22">
        <v>25150</v>
      </c>
      <c r="E57" s="20">
        <f>-(C57*0.07)</f>
        <v>-155366.13750000001</v>
      </c>
      <c r="F57" s="20">
        <v>0</v>
      </c>
      <c r="G57" s="20">
        <v>0</v>
      </c>
      <c r="H57" s="20">
        <v>0</v>
      </c>
      <c r="I57" s="20">
        <v>0</v>
      </c>
      <c r="J57" s="9">
        <v>240572</v>
      </c>
      <c r="K57" s="9">
        <f>4000*8</f>
        <v>32000</v>
      </c>
      <c r="L57" s="9">
        <v>0</v>
      </c>
      <c r="M57" s="9">
        <v>0</v>
      </c>
      <c r="N57" s="9">
        <f>15500*50/10</f>
        <v>77500</v>
      </c>
      <c r="O57" s="9">
        <v>0</v>
      </c>
      <c r="P57" s="9">
        <v>85250</v>
      </c>
      <c r="Q57" s="9">
        <v>0</v>
      </c>
      <c r="R57" s="16">
        <v>0</v>
      </c>
      <c r="S57" s="26">
        <v>15500</v>
      </c>
      <c r="T57" s="33">
        <f>-(S57*0.03)</f>
        <v>-465</v>
      </c>
      <c r="U57" s="33">
        <v>0</v>
      </c>
      <c r="V57" s="33">
        <v>-93</v>
      </c>
      <c r="W57" s="33">
        <v>0</v>
      </c>
      <c r="X57" s="25">
        <v>0</v>
      </c>
      <c r="Y57" s="16">
        <v>15.7</v>
      </c>
      <c r="Z57" s="20">
        <f>(T57+U57+V57+W57)*Y57</f>
        <v>-8760.6</v>
      </c>
      <c r="AA57" s="21">
        <v>3100</v>
      </c>
      <c r="AB57" s="21">
        <f>AA57*0.03</f>
        <v>93</v>
      </c>
      <c r="AC57" s="33">
        <v>0</v>
      </c>
      <c r="AD57" s="27">
        <v>0</v>
      </c>
      <c r="AE57" s="25">
        <f>(AA57+AB57+AC57)*AD57</f>
        <v>0</v>
      </c>
      <c r="AF57" s="19">
        <f>C57+D57+E57+F57+G57+H57+I57+J57+K57+L57+M57+N57+O57+P57+Q57+X57+Z57+AE57</f>
        <v>2515861.5124999997</v>
      </c>
      <c r="AG57" s="9">
        <f>AF57/15500</f>
        <v>162.31364596774191</v>
      </c>
      <c r="AH57" s="9">
        <f>AG57/12</f>
        <v>13.526137163978492</v>
      </c>
    </row>
    <row r="58" spans="1:34" x14ac:dyDescent="0.25">
      <c r="A58" s="30" t="s">
        <v>159</v>
      </c>
      <c r="B58" s="28">
        <v>2113825</v>
      </c>
      <c r="C58" s="22">
        <f>B58+(B58*0.05)</f>
        <v>2219516.25</v>
      </c>
      <c r="D58" s="22">
        <v>25150</v>
      </c>
      <c r="E58" s="20">
        <f>-(C58*0.07)</f>
        <v>-155366.13750000001</v>
      </c>
      <c r="F58" s="20">
        <v>0</v>
      </c>
      <c r="G58" s="20">
        <v>0</v>
      </c>
      <c r="H58" s="20">
        <v>0</v>
      </c>
      <c r="I58" s="20">
        <v>0</v>
      </c>
      <c r="J58" s="9">
        <v>240572</v>
      </c>
      <c r="K58" s="9">
        <f>4000*8</f>
        <v>32000</v>
      </c>
      <c r="L58" s="9">
        <v>0</v>
      </c>
      <c r="M58" s="9">
        <v>0</v>
      </c>
      <c r="N58" s="9">
        <v>0</v>
      </c>
      <c r="O58" s="9">
        <f>15028*50/10</f>
        <v>75140</v>
      </c>
      <c r="P58" s="9">
        <v>0</v>
      </c>
      <c r="Q58" s="9">
        <f>15028*55/10</f>
        <v>82654</v>
      </c>
      <c r="R58" s="16">
        <v>0</v>
      </c>
      <c r="S58" s="26">
        <v>15028</v>
      </c>
      <c r="T58" s="33">
        <v>0</v>
      </c>
      <c r="U58" s="33">
        <v>0</v>
      </c>
      <c r="V58" s="33">
        <v>-90.18</v>
      </c>
      <c r="W58" s="33">
        <v>0</v>
      </c>
      <c r="X58" s="25">
        <v>0</v>
      </c>
      <c r="Y58" s="16">
        <v>15.7</v>
      </c>
      <c r="Z58" s="20">
        <f>(T58+U58+V58+W58)*Y58</f>
        <v>-1415.826</v>
      </c>
      <c r="AA58" s="21">
        <v>3006</v>
      </c>
      <c r="AB58" s="21">
        <f>3006*0.03</f>
        <v>90.179999999999993</v>
      </c>
      <c r="AC58" s="33">
        <v>0</v>
      </c>
      <c r="AD58" s="27">
        <v>0</v>
      </c>
      <c r="AE58" s="25">
        <f>(AA58+AB58+AC58)*AD58</f>
        <v>0</v>
      </c>
      <c r="AF58" s="19">
        <f>C58+D58+E58+F58+G58+H58+I58+J58+K58+L58+M58+N58+O58+P58+Q58+X58+Z58+AE58</f>
        <v>2518250.2864999999</v>
      </c>
      <c r="AG58" s="9">
        <f>AF58/15500</f>
        <v>162.46776041935485</v>
      </c>
      <c r="AH58" s="9">
        <f>AG58/12</f>
        <v>13.538980034946237</v>
      </c>
    </row>
    <row r="59" spans="1:34" x14ac:dyDescent="0.25">
      <c r="A59" s="37" t="s">
        <v>160</v>
      </c>
      <c r="B59" s="38">
        <v>2113825</v>
      </c>
      <c r="C59" s="38">
        <f>B59+(B59*0.05)</f>
        <v>2219516.25</v>
      </c>
      <c r="D59" s="38">
        <v>25150</v>
      </c>
      <c r="E59" s="39">
        <f>-(C59*0.07)</f>
        <v>-155366.13750000001</v>
      </c>
      <c r="F59" s="39">
        <v>0</v>
      </c>
      <c r="G59" s="39">
        <v>0</v>
      </c>
      <c r="H59" s="39">
        <v>0</v>
      </c>
      <c r="I59" s="39">
        <v>0</v>
      </c>
      <c r="J59" s="15">
        <v>240572</v>
      </c>
      <c r="K59" s="15">
        <f>4000*8</f>
        <v>32000</v>
      </c>
      <c r="L59" s="15">
        <v>0</v>
      </c>
      <c r="M59" s="15">
        <v>0</v>
      </c>
      <c r="N59" s="15">
        <f>15500*50/10</f>
        <v>77500</v>
      </c>
      <c r="O59" s="15">
        <v>0</v>
      </c>
      <c r="P59" s="15">
        <v>85250</v>
      </c>
      <c r="Q59" s="15">
        <v>0</v>
      </c>
      <c r="R59" s="15">
        <v>0</v>
      </c>
      <c r="S59" s="40">
        <v>15500</v>
      </c>
      <c r="T59" s="41">
        <v>0</v>
      </c>
      <c r="U59" s="41">
        <v>0</v>
      </c>
      <c r="V59" s="41">
        <v>-93</v>
      </c>
      <c r="W59" s="41">
        <v>0</v>
      </c>
      <c r="X59" s="42">
        <v>0</v>
      </c>
      <c r="Y59" s="15">
        <v>15.7</v>
      </c>
      <c r="Z59" s="39">
        <f>(T59+U59+V59+W59)*Y59</f>
        <v>-1460.1</v>
      </c>
      <c r="AA59" s="40">
        <v>3100</v>
      </c>
      <c r="AB59" s="40">
        <f>AA59*0.03</f>
        <v>93</v>
      </c>
      <c r="AC59" s="41">
        <v>0</v>
      </c>
      <c r="AD59" s="42">
        <v>0</v>
      </c>
      <c r="AE59" s="42">
        <f>(AA59+AB59+AC59)*AD59</f>
        <v>0</v>
      </c>
      <c r="AF59" s="43">
        <f>C59+D59+E59+F59+G59+H59+I59+J59+K59+L59+M59+N59+O59+P59+Q59+X59+Z59+AE59</f>
        <v>2523162.0124999997</v>
      </c>
      <c r="AG59" s="15">
        <f>AF59/15500</f>
        <v>162.78464596774191</v>
      </c>
      <c r="AH59" s="15">
        <f>AG59/12</f>
        <v>13.565387163978492</v>
      </c>
    </row>
    <row r="60" spans="1:34" x14ac:dyDescent="0.25">
      <c r="A60" s="29" t="s">
        <v>147</v>
      </c>
      <c r="B60" s="28">
        <v>2113825</v>
      </c>
      <c r="C60" s="22">
        <f>B60+(B60*0.05)</f>
        <v>2219516.25</v>
      </c>
      <c r="D60" s="22">
        <v>25150</v>
      </c>
      <c r="E60" s="22">
        <v>0</v>
      </c>
      <c r="F60" s="20">
        <f>-(C60*0.037)</f>
        <v>-82122.101249999992</v>
      </c>
      <c r="G60" s="20">
        <v>0</v>
      </c>
      <c r="H60" s="20">
        <v>0</v>
      </c>
      <c r="I60" s="20">
        <f>-(C60*0.07)</f>
        <v>-155366.13750000001</v>
      </c>
      <c r="J60" s="9">
        <v>240572</v>
      </c>
      <c r="K60" s="9">
        <f>4000*3</f>
        <v>12000</v>
      </c>
      <c r="L60" s="9">
        <v>0</v>
      </c>
      <c r="M60" s="9">
        <v>0</v>
      </c>
      <c r="N60" s="9">
        <v>0</v>
      </c>
      <c r="O60" s="9">
        <f>15028*50/10</f>
        <v>75140</v>
      </c>
      <c r="P60" s="9">
        <v>0</v>
      </c>
      <c r="Q60" s="9">
        <v>0</v>
      </c>
      <c r="R60" s="16">
        <v>0</v>
      </c>
      <c r="S60" s="26">
        <v>15028</v>
      </c>
      <c r="T60" s="33">
        <v>0</v>
      </c>
      <c r="U60" s="33">
        <f>-(S60*0.05)</f>
        <v>-751.40000000000009</v>
      </c>
      <c r="V60" s="33">
        <v>-90.18</v>
      </c>
      <c r="W60" s="33">
        <v>0</v>
      </c>
      <c r="X60" s="25">
        <v>0</v>
      </c>
      <c r="Y60" s="16">
        <v>15.7</v>
      </c>
      <c r="Z60" s="20">
        <f>(T60+U60+V60+W60)*Y60</f>
        <v>-13212.806000000002</v>
      </c>
      <c r="AA60" s="21">
        <v>3006</v>
      </c>
      <c r="AB60" s="21">
        <f>3006*0.03</f>
        <v>90.179999999999993</v>
      </c>
      <c r="AC60" s="33">
        <v>0</v>
      </c>
      <c r="AD60" s="27">
        <v>80</v>
      </c>
      <c r="AE60" s="25">
        <f>(AA60+AB60+AC60)*AD60</f>
        <v>247694.4</v>
      </c>
      <c r="AF60" s="19">
        <f>C60+D60+E60+F60+G60+H60+I60+J60+K60+L60+M60+N60+O60+P60+Q60+X60+Z60+AE60</f>
        <v>2569371.6052500005</v>
      </c>
      <c r="AG60" s="9">
        <f>AF60/15500</f>
        <v>165.76591001612906</v>
      </c>
      <c r="AH60" s="9">
        <f>AG60/12</f>
        <v>13.813825834677422</v>
      </c>
    </row>
    <row r="61" spans="1:34" x14ac:dyDescent="0.25">
      <c r="A61" s="29" t="s">
        <v>119</v>
      </c>
      <c r="B61" s="28">
        <v>2113825</v>
      </c>
      <c r="C61" s="22">
        <f>B61+(B61*0.05)</f>
        <v>2219516.25</v>
      </c>
      <c r="D61" s="22">
        <v>25150</v>
      </c>
      <c r="E61" s="22">
        <v>0</v>
      </c>
      <c r="F61" s="20">
        <f>-(C61*0.037)</f>
        <v>-82122.101249999992</v>
      </c>
      <c r="G61" s="20">
        <v>0</v>
      </c>
      <c r="H61" s="20">
        <v>0</v>
      </c>
      <c r="I61" s="20">
        <f>-(C61*0.07)</f>
        <v>-155366.13750000001</v>
      </c>
      <c r="J61" s="9">
        <v>240572</v>
      </c>
      <c r="K61" s="9">
        <f>4000*3</f>
        <v>12000</v>
      </c>
      <c r="L61" s="9">
        <v>0</v>
      </c>
      <c r="M61" s="9">
        <v>0</v>
      </c>
      <c r="N61" s="9">
        <f>15500*50/10</f>
        <v>77500</v>
      </c>
      <c r="O61" s="9">
        <v>0</v>
      </c>
      <c r="P61" s="9">
        <v>0</v>
      </c>
      <c r="Q61" s="9">
        <v>0</v>
      </c>
      <c r="R61" s="16">
        <v>0</v>
      </c>
      <c r="S61" s="26">
        <v>15500</v>
      </c>
      <c r="T61" s="33">
        <v>0</v>
      </c>
      <c r="U61" s="33">
        <f>-(15500*0.05)</f>
        <v>-775</v>
      </c>
      <c r="V61" s="33">
        <v>-93</v>
      </c>
      <c r="W61" s="33">
        <v>0</v>
      </c>
      <c r="X61" s="25">
        <v>0</v>
      </c>
      <c r="Y61" s="16">
        <v>15.7</v>
      </c>
      <c r="Z61" s="20">
        <f>(T61+U61+V61+W61)*Y61</f>
        <v>-13627.599999999999</v>
      </c>
      <c r="AA61" s="21">
        <v>3100</v>
      </c>
      <c r="AB61" s="21">
        <f>AA61*0.03</f>
        <v>93</v>
      </c>
      <c r="AC61" s="33">
        <v>0</v>
      </c>
      <c r="AD61" s="27">
        <v>80</v>
      </c>
      <c r="AE61" s="25">
        <f>(AA61+AB61+AC61)*AD61</f>
        <v>255440</v>
      </c>
      <c r="AF61" s="19">
        <f>C61+D61+E61+F61+G61+H61+I61+J61+K61+L61+M61+N61+O61+P61+Q61+X61+Z61+AE61</f>
        <v>2579062.4112500004</v>
      </c>
      <c r="AG61" s="9">
        <f>AF61/15500</f>
        <v>166.39112330645165</v>
      </c>
      <c r="AH61" s="9">
        <f>AG61/12</f>
        <v>13.865926942204304</v>
      </c>
    </row>
    <row r="62" spans="1:34" x14ac:dyDescent="0.25">
      <c r="A62" s="30" t="s">
        <v>168</v>
      </c>
      <c r="B62" s="28">
        <v>2113825</v>
      </c>
      <c r="C62" s="22">
        <f>B62+(B62*0.05)</f>
        <v>2219516.25</v>
      </c>
      <c r="D62" s="22">
        <v>25150</v>
      </c>
      <c r="E62" s="20">
        <f>-(C62*0.07)</f>
        <v>-155366.13750000001</v>
      </c>
      <c r="F62" s="20">
        <v>0</v>
      </c>
      <c r="G62" s="20">
        <v>0</v>
      </c>
      <c r="H62" s="20">
        <v>0</v>
      </c>
      <c r="I62" s="20">
        <f>-(C62*0.07)</f>
        <v>-155366.13750000001</v>
      </c>
      <c r="J62" s="9">
        <v>240572</v>
      </c>
      <c r="K62" s="9">
        <f>4000*8</f>
        <v>32000</v>
      </c>
      <c r="L62" s="9">
        <v>0</v>
      </c>
      <c r="M62" s="9">
        <v>0</v>
      </c>
      <c r="N62" s="9">
        <v>0</v>
      </c>
      <c r="O62" s="9">
        <f>15028*50/10</f>
        <v>75140</v>
      </c>
      <c r="P62" s="9">
        <v>0</v>
      </c>
      <c r="Q62" s="9">
        <f>15028*55/10</f>
        <v>82654</v>
      </c>
      <c r="R62" s="16">
        <v>0</v>
      </c>
      <c r="S62" s="26">
        <v>15028</v>
      </c>
      <c r="T62" s="33">
        <v>0</v>
      </c>
      <c r="U62" s="33">
        <f>-(15028*0.05)</f>
        <v>-751.40000000000009</v>
      </c>
      <c r="V62" s="33">
        <v>-90.18</v>
      </c>
      <c r="W62" s="33">
        <v>0</v>
      </c>
      <c r="X62" s="25">
        <v>0</v>
      </c>
      <c r="Y62" s="16">
        <v>15.7</v>
      </c>
      <c r="Z62" s="20">
        <f>(T62+U62+V62+W62)*Y62</f>
        <v>-13212.806000000002</v>
      </c>
      <c r="AA62" s="21">
        <v>3006</v>
      </c>
      <c r="AB62" s="21">
        <f>3006*0.03</f>
        <v>90.179999999999993</v>
      </c>
      <c r="AC62" s="33">
        <v>0</v>
      </c>
      <c r="AD62" s="27">
        <v>80</v>
      </c>
      <c r="AE62" s="25">
        <f>(AA62+AB62+AC62)*AD62</f>
        <v>247694.4</v>
      </c>
      <c r="AF62" s="19">
        <f>C62+D62+E62+F62+G62+H62+I62+J62+K62+L62+M62+N62+O62+P62+Q62+X62+Z62+AE62</f>
        <v>2598781.5690000001</v>
      </c>
      <c r="AG62" s="9">
        <f>AF62/15500</f>
        <v>167.66332703225808</v>
      </c>
      <c r="AH62" s="9">
        <f>AG62/12</f>
        <v>13.971943919354841</v>
      </c>
    </row>
    <row r="63" spans="1:34" x14ac:dyDescent="0.25">
      <c r="A63" s="30" t="s">
        <v>82</v>
      </c>
      <c r="B63" s="28">
        <v>2113825</v>
      </c>
      <c r="C63" s="22">
        <f>B63+(B63*0.05)</f>
        <v>2219516.25</v>
      </c>
      <c r="D63" s="22">
        <v>25150</v>
      </c>
      <c r="E63" s="20">
        <f>-(C63*0.07)</f>
        <v>-155366.13750000001</v>
      </c>
      <c r="F63" s="20">
        <v>0</v>
      </c>
      <c r="G63" s="20">
        <v>0</v>
      </c>
      <c r="H63" s="20">
        <v>0</v>
      </c>
      <c r="I63" s="20">
        <f>-(C63*0.07)</f>
        <v>-155366.13750000001</v>
      </c>
      <c r="J63" s="9">
        <v>240572</v>
      </c>
      <c r="K63" s="9">
        <f>4000*8</f>
        <v>32000</v>
      </c>
      <c r="L63" s="9">
        <v>0</v>
      </c>
      <c r="M63" s="9">
        <v>0</v>
      </c>
      <c r="N63" s="9">
        <f>15500*50/10</f>
        <v>77500</v>
      </c>
      <c r="O63" s="9">
        <v>0</v>
      </c>
      <c r="P63" s="9">
        <v>85250</v>
      </c>
      <c r="Q63" s="9">
        <v>0</v>
      </c>
      <c r="R63" s="16">
        <v>0</v>
      </c>
      <c r="S63" s="26">
        <v>15500</v>
      </c>
      <c r="T63" s="33">
        <v>0</v>
      </c>
      <c r="U63" s="33">
        <f>-(15500*0.05)</f>
        <v>-775</v>
      </c>
      <c r="V63" s="33">
        <v>-93</v>
      </c>
      <c r="W63" s="33">
        <v>0</v>
      </c>
      <c r="X63" s="25">
        <v>0</v>
      </c>
      <c r="Y63" s="16">
        <v>15.7</v>
      </c>
      <c r="Z63" s="20">
        <f>(T63+U63+V63+W63)*Y63</f>
        <v>-13627.599999999999</v>
      </c>
      <c r="AA63" s="21">
        <v>3100</v>
      </c>
      <c r="AB63" s="21">
        <f>AA63*0.03</f>
        <v>93</v>
      </c>
      <c r="AC63" s="33">
        <v>0</v>
      </c>
      <c r="AD63" s="27">
        <v>80</v>
      </c>
      <c r="AE63" s="25">
        <f>(AA63+AB63+AC63)*AD63</f>
        <v>255440</v>
      </c>
      <c r="AF63" s="19">
        <f>C63+D63+E63+F63+G63+H63+I63+J63+K63+L63+M63+N63+O63+P63+Q63+X63+Z63+AE63</f>
        <v>2611068.375</v>
      </c>
      <c r="AG63" s="9">
        <f>AF63/15500</f>
        <v>168.45602419354839</v>
      </c>
      <c r="AH63" s="9">
        <f>AG63/12</f>
        <v>14.038002016129033</v>
      </c>
    </row>
    <row r="64" spans="1:34" x14ac:dyDescent="0.25">
      <c r="A64" s="29" t="s">
        <v>143</v>
      </c>
      <c r="B64" s="28">
        <v>2113825</v>
      </c>
      <c r="C64" s="22">
        <f>B64+(B64*0.05)</f>
        <v>2219516.25</v>
      </c>
      <c r="D64" s="22">
        <v>25150</v>
      </c>
      <c r="E64" s="22">
        <v>0</v>
      </c>
      <c r="F64" s="20">
        <f>-(C64*0.037)</f>
        <v>-82122.101249999992</v>
      </c>
      <c r="G64" s="20">
        <v>0</v>
      </c>
      <c r="H64" s="20">
        <v>0</v>
      </c>
      <c r="I64" s="20">
        <v>0</v>
      </c>
      <c r="J64" s="9">
        <v>240572</v>
      </c>
      <c r="K64" s="9">
        <f>4000*3</f>
        <v>12000</v>
      </c>
      <c r="L64" s="9">
        <v>0</v>
      </c>
      <c r="M64" s="9">
        <v>0</v>
      </c>
      <c r="N64" s="9">
        <v>0</v>
      </c>
      <c r="O64" s="9">
        <f>15028*50/10</f>
        <v>75140</v>
      </c>
      <c r="P64" s="9">
        <v>0</v>
      </c>
      <c r="Q64" s="9">
        <v>0</v>
      </c>
      <c r="R64" s="16">
        <v>0</v>
      </c>
      <c r="S64" s="26">
        <v>15028</v>
      </c>
      <c r="T64" s="33">
        <f>-(S64*0.03)</f>
        <v>-450.84</v>
      </c>
      <c r="U64" s="33">
        <v>0</v>
      </c>
      <c r="V64" s="33">
        <v>-90.18</v>
      </c>
      <c r="W64" s="33">
        <v>0</v>
      </c>
      <c r="X64" s="25">
        <v>0</v>
      </c>
      <c r="Y64" s="16">
        <v>15.7</v>
      </c>
      <c r="Z64" s="20">
        <f>(T64+U64+V64+W64)*Y64</f>
        <v>-8494.0139999999992</v>
      </c>
      <c r="AA64" s="21">
        <v>3006</v>
      </c>
      <c r="AB64" s="21">
        <f>3006*0.03</f>
        <v>90.179999999999993</v>
      </c>
      <c r="AC64" s="33">
        <v>0</v>
      </c>
      <c r="AD64" s="27">
        <v>45</v>
      </c>
      <c r="AE64" s="25">
        <f>(AA64+AB64+AC64)*AD64</f>
        <v>139328.1</v>
      </c>
      <c r="AF64" s="19">
        <f>C64+D64+E64+F64+G64+H64+I64+J64+K64+L64+M64+N64+O64+P64+Q64+X64+Z64+AE64</f>
        <v>2621090.2347500003</v>
      </c>
      <c r="AG64" s="9">
        <f>AF64/15500</f>
        <v>169.1025957903226</v>
      </c>
      <c r="AH64" s="9">
        <f>AG64/12</f>
        <v>14.091882982526883</v>
      </c>
    </row>
    <row r="65" spans="1:34" x14ac:dyDescent="0.25">
      <c r="A65" s="29" t="s">
        <v>115</v>
      </c>
      <c r="B65" s="28">
        <v>2113825</v>
      </c>
      <c r="C65" s="22">
        <f>B65+(B65*0.05)</f>
        <v>2219516.25</v>
      </c>
      <c r="D65" s="22">
        <v>25150</v>
      </c>
      <c r="E65" s="22">
        <v>0</v>
      </c>
      <c r="F65" s="20">
        <f>-(C65*0.037)</f>
        <v>-82122.101249999992</v>
      </c>
      <c r="G65" s="20">
        <v>0</v>
      </c>
      <c r="H65" s="20">
        <v>0</v>
      </c>
      <c r="I65" s="20">
        <v>0</v>
      </c>
      <c r="J65" s="9">
        <v>240572</v>
      </c>
      <c r="K65" s="9">
        <f>4000*3</f>
        <v>12000</v>
      </c>
      <c r="L65" s="9">
        <v>0</v>
      </c>
      <c r="M65" s="9">
        <v>0</v>
      </c>
      <c r="N65" s="9">
        <f>15500*50/10</f>
        <v>77500</v>
      </c>
      <c r="O65" s="9">
        <v>0</v>
      </c>
      <c r="P65" s="9">
        <v>0</v>
      </c>
      <c r="Q65" s="9">
        <v>0</v>
      </c>
      <c r="R65" s="16">
        <v>0</v>
      </c>
      <c r="S65" s="26">
        <v>15500</v>
      </c>
      <c r="T65" s="33">
        <f>-(S65*0.03)</f>
        <v>-465</v>
      </c>
      <c r="U65" s="33">
        <v>0</v>
      </c>
      <c r="V65" s="33">
        <v>-93</v>
      </c>
      <c r="W65" s="33">
        <v>0</v>
      </c>
      <c r="X65" s="25">
        <v>0</v>
      </c>
      <c r="Y65" s="16">
        <v>15.7</v>
      </c>
      <c r="Z65" s="20">
        <f>(T65+U65+V65+W65)*Y65</f>
        <v>-8760.6</v>
      </c>
      <c r="AA65" s="21">
        <v>3100</v>
      </c>
      <c r="AB65" s="21">
        <f>AA65*0.03</f>
        <v>93</v>
      </c>
      <c r="AC65" s="33">
        <v>0</v>
      </c>
      <c r="AD65" s="27">
        <v>45</v>
      </c>
      <c r="AE65" s="25">
        <f>(AA65+AB65+AC65)*AD65</f>
        <v>143685</v>
      </c>
      <c r="AF65" s="19">
        <f>C65+D65+E65+F65+G65+H65+I65+J65+K65+L65+M65+N65+O65+P65+Q65+X65+Z65+AE65</f>
        <v>2627540.5487500001</v>
      </c>
      <c r="AG65" s="9">
        <f>AF65/15500</f>
        <v>169.51874508064517</v>
      </c>
      <c r="AH65" s="9">
        <f>AG65/12</f>
        <v>14.126562090053765</v>
      </c>
    </row>
    <row r="66" spans="1:34" x14ac:dyDescent="0.25">
      <c r="A66" s="29" t="s">
        <v>142</v>
      </c>
      <c r="B66" s="28">
        <v>2113825</v>
      </c>
      <c r="C66" s="22">
        <f>B66+(B66*0.05)</f>
        <v>2219516.25</v>
      </c>
      <c r="D66" s="22">
        <v>25150</v>
      </c>
      <c r="E66" s="22">
        <v>0</v>
      </c>
      <c r="F66" s="20">
        <f>-(C66*0.037)</f>
        <v>-82122.101249999992</v>
      </c>
      <c r="G66" s="20">
        <v>0</v>
      </c>
      <c r="H66" s="20">
        <v>0</v>
      </c>
      <c r="I66" s="20">
        <v>0</v>
      </c>
      <c r="J66" s="9">
        <v>240572</v>
      </c>
      <c r="K66" s="9">
        <f>4000*3</f>
        <v>12000</v>
      </c>
      <c r="L66" s="9">
        <v>0</v>
      </c>
      <c r="M66" s="9">
        <v>0</v>
      </c>
      <c r="N66" s="9">
        <v>0</v>
      </c>
      <c r="O66" s="9">
        <f>15028*50/10</f>
        <v>75140</v>
      </c>
      <c r="P66" s="9">
        <v>0</v>
      </c>
      <c r="Q66" s="9">
        <v>0</v>
      </c>
      <c r="R66" s="16">
        <v>0</v>
      </c>
      <c r="S66" s="26">
        <v>15028</v>
      </c>
      <c r="T66" s="33">
        <v>0</v>
      </c>
      <c r="U66" s="33">
        <v>0</v>
      </c>
      <c r="V66" s="33">
        <v>-90.18</v>
      </c>
      <c r="W66" s="33">
        <v>0</v>
      </c>
      <c r="X66" s="25">
        <v>0</v>
      </c>
      <c r="Y66" s="16">
        <v>15.7</v>
      </c>
      <c r="Z66" s="20">
        <f>(T66+U66+V66+W66)*Y66</f>
        <v>-1415.826</v>
      </c>
      <c r="AA66" s="21">
        <v>3006</v>
      </c>
      <c r="AB66" s="21">
        <f>3006*0.03</f>
        <v>90.179999999999993</v>
      </c>
      <c r="AC66" s="33">
        <v>0</v>
      </c>
      <c r="AD66" s="27">
        <v>45</v>
      </c>
      <c r="AE66" s="25">
        <f>(AA66+AB66+AC66)*AD66</f>
        <v>139328.1</v>
      </c>
      <c r="AF66" s="19">
        <f>C66+D66+E66+F66+G66+H66+I66+J66+K66+L66+M66+N66+O66+P66+Q66+X66+Z66+AE66</f>
        <v>2628168.4227500004</v>
      </c>
      <c r="AG66" s="9">
        <f>AF66/15500</f>
        <v>169.55925308064519</v>
      </c>
      <c r="AH66" s="9">
        <f>AG66/12</f>
        <v>14.129937756720432</v>
      </c>
    </row>
    <row r="67" spans="1:34" x14ac:dyDescent="0.25">
      <c r="A67" s="29" t="s">
        <v>114</v>
      </c>
      <c r="B67" s="28">
        <v>2113825</v>
      </c>
      <c r="C67" s="22">
        <f>B67+(B67*0.05)</f>
        <v>2219516.25</v>
      </c>
      <c r="D67" s="22">
        <v>25150</v>
      </c>
      <c r="E67" s="22">
        <v>0</v>
      </c>
      <c r="F67" s="20">
        <f>-(C67*0.037)</f>
        <v>-82122.101249999992</v>
      </c>
      <c r="G67" s="20">
        <v>0</v>
      </c>
      <c r="H67" s="20">
        <v>0</v>
      </c>
      <c r="I67" s="20">
        <v>0</v>
      </c>
      <c r="J67" s="9">
        <v>240572</v>
      </c>
      <c r="K67" s="9">
        <f>4000*3</f>
        <v>12000</v>
      </c>
      <c r="L67" s="9">
        <v>0</v>
      </c>
      <c r="M67" s="9">
        <v>0</v>
      </c>
      <c r="N67" s="9">
        <f>15500*50/10</f>
        <v>77500</v>
      </c>
      <c r="O67" s="9">
        <v>0</v>
      </c>
      <c r="P67" s="9">
        <v>0</v>
      </c>
      <c r="Q67" s="9">
        <v>0</v>
      </c>
      <c r="R67" s="16">
        <v>0</v>
      </c>
      <c r="S67" s="26">
        <v>15500</v>
      </c>
      <c r="T67" s="33">
        <v>0</v>
      </c>
      <c r="U67" s="33">
        <v>0</v>
      </c>
      <c r="V67" s="33">
        <v>-93</v>
      </c>
      <c r="W67" s="33">
        <v>0</v>
      </c>
      <c r="X67" s="25">
        <v>0</v>
      </c>
      <c r="Y67" s="16">
        <v>15.7</v>
      </c>
      <c r="Z67" s="20">
        <f>(T67+U67+V67+W67)*Y67</f>
        <v>-1460.1</v>
      </c>
      <c r="AA67" s="21">
        <v>3100</v>
      </c>
      <c r="AB67" s="21">
        <f>AA67*0.03</f>
        <v>93</v>
      </c>
      <c r="AC67" s="33">
        <v>0</v>
      </c>
      <c r="AD67" s="27">
        <v>45</v>
      </c>
      <c r="AE67" s="25">
        <f>(AA67+AB67+AC67)*AD67</f>
        <v>143685</v>
      </c>
      <c r="AF67" s="19">
        <f>C67+D67+E67+F67+G67+H67+I67+J67+K67+L67+M67+N67+O67+P67+Q67+X67+Z67+AE67</f>
        <v>2634841.0487500001</v>
      </c>
      <c r="AG67" s="9">
        <f>AF67/15500</f>
        <v>169.98974508064518</v>
      </c>
      <c r="AH67" s="9">
        <f>AG67/12</f>
        <v>14.165812090053764</v>
      </c>
    </row>
    <row r="68" spans="1:34" x14ac:dyDescent="0.25">
      <c r="A68" s="29" t="s">
        <v>134</v>
      </c>
      <c r="B68" s="28">
        <v>2113825</v>
      </c>
      <c r="C68" s="22">
        <f>B68+(B68*0.05)</f>
        <v>2219516.25</v>
      </c>
      <c r="D68" s="22">
        <v>25150</v>
      </c>
      <c r="E68" s="22">
        <v>0</v>
      </c>
      <c r="F68" s="20">
        <v>0</v>
      </c>
      <c r="G68" s="20">
        <v>0</v>
      </c>
      <c r="H68" s="20">
        <v>0</v>
      </c>
      <c r="I68" s="20">
        <f>-(C68*0.07)</f>
        <v>-155366.13750000001</v>
      </c>
      <c r="J68" s="9">
        <v>240572</v>
      </c>
      <c r="K68" s="9">
        <v>0</v>
      </c>
      <c r="L68" s="9">
        <v>0</v>
      </c>
      <c r="M68" s="9">
        <f>15779*60/5</f>
        <v>189348</v>
      </c>
      <c r="N68" s="9">
        <v>0</v>
      </c>
      <c r="O68" s="9">
        <v>0</v>
      </c>
      <c r="P68" s="9">
        <v>0</v>
      </c>
      <c r="Q68" s="9">
        <v>0</v>
      </c>
      <c r="R68" s="16">
        <v>0</v>
      </c>
      <c r="S68" s="26">
        <v>15028</v>
      </c>
      <c r="T68" s="33">
        <v>0</v>
      </c>
      <c r="U68" s="33">
        <f>-(S68*0.05)</f>
        <v>-751.40000000000009</v>
      </c>
      <c r="V68" s="33">
        <v>0</v>
      </c>
      <c r="W68" s="33">
        <v>0</v>
      </c>
      <c r="X68" s="25">
        <v>0</v>
      </c>
      <c r="Y68" s="16">
        <v>15.7</v>
      </c>
      <c r="Z68" s="20">
        <f>(T68+U68+V68+W68)*Y68</f>
        <v>-11796.980000000001</v>
      </c>
      <c r="AA68" s="21">
        <v>3006</v>
      </c>
      <c r="AB68" s="21">
        <v>0</v>
      </c>
      <c r="AC68" s="33">
        <v>0</v>
      </c>
      <c r="AD68" s="27">
        <v>45</v>
      </c>
      <c r="AE68" s="25">
        <f>(AA68+AB68+AC68)*AD68</f>
        <v>135270</v>
      </c>
      <c r="AF68" s="19">
        <f>C68+D68+E68+F68+G68+H68+I68+J68+K68+L68+M68+N68+O68+P68+Q68+X68+Z68+AE68</f>
        <v>2642693.1324999998</v>
      </c>
      <c r="AG68" s="9">
        <f>AF68/15500</f>
        <v>170.49633112903226</v>
      </c>
      <c r="AH68" s="9">
        <f>AG68/12</f>
        <v>14.208027594086021</v>
      </c>
    </row>
    <row r="69" spans="1:34" x14ac:dyDescent="0.25">
      <c r="A69" s="31" t="s">
        <v>53</v>
      </c>
      <c r="B69" s="27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0">
        <v>0</v>
      </c>
      <c r="I69" s="25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/>
      <c r="R69" s="16">
        <f>9.07*12</f>
        <v>108.84</v>
      </c>
      <c r="S69" s="26">
        <v>15500</v>
      </c>
      <c r="T69" s="33">
        <v>0</v>
      </c>
      <c r="U69" s="33">
        <v>0</v>
      </c>
      <c r="V69" s="33">
        <v>-93</v>
      </c>
      <c r="W69" s="33">
        <v>0</v>
      </c>
      <c r="X69" s="9">
        <f>R69*15500</f>
        <v>1687020</v>
      </c>
      <c r="Y69" s="16">
        <v>45.45</v>
      </c>
      <c r="Z69" s="20">
        <f>(S69+T69+U69+V69+W69)*Y69</f>
        <v>700248.15</v>
      </c>
      <c r="AA69" s="21">
        <v>3100</v>
      </c>
      <c r="AB69" s="21">
        <f>AA69*0.03</f>
        <v>93</v>
      </c>
      <c r="AC69" s="33">
        <v>0</v>
      </c>
      <c r="AD69" s="27">
        <v>80</v>
      </c>
      <c r="AE69" s="25">
        <f>(AA69+AB69+AC69)*AD69</f>
        <v>255440</v>
      </c>
      <c r="AF69" s="19">
        <f>C69+E69+F69+G69+H69+I69+J69+K69+L69+M69+N69+O69+P69+Q69+X69+Z69+AE69</f>
        <v>2642708.15</v>
      </c>
      <c r="AG69" s="9">
        <f>AF69/15500</f>
        <v>170.4973</v>
      </c>
      <c r="AH69" s="9">
        <f>AG69/12</f>
        <v>14.208108333333334</v>
      </c>
    </row>
    <row r="70" spans="1:34" x14ac:dyDescent="0.25">
      <c r="A70" s="30" t="s">
        <v>164</v>
      </c>
      <c r="B70" s="28">
        <v>2113825</v>
      </c>
      <c r="C70" s="22">
        <f>B70+(B70*0.05)</f>
        <v>2219516.25</v>
      </c>
      <c r="D70" s="22">
        <v>25150</v>
      </c>
      <c r="E70" s="20">
        <f>-(C70*0.07)</f>
        <v>-155366.13750000001</v>
      </c>
      <c r="F70" s="20">
        <v>0</v>
      </c>
      <c r="G70" s="20">
        <v>0</v>
      </c>
      <c r="H70" s="20">
        <v>0</v>
      </c>
      <c r="I70" s="20">
        <v>0</v>
      </c>
      <c r="J70" s="9">
        <v>240572</v>
      </c>
      <c r="K70" s="9">
        <f>4000*8</f>
        <v>32000</v>
      </c>
      <c r="L70" s="9">
        <v>0</v>
      </c>
      <c r="M70" s="9">
        <v>0</v>
      </c>
      <c r="N70" s="9">
        <v>0</v>
      </c>
      <c r="O70" s="9">
        <f>15028*50/10</f>
        <v>75140</v>
      </c>
      <c r="P70" s="9">
        <v>0</v>
      </c>
      <c r="Q70" s="9">
        <f>15028*55/10</f>
        <v>82654</v>
      </c>
      <c r="R70" s="16">
        <v>0</v>
      </c>
      <c r="S70" s="26">
        <v>15028</v>
      </c>
      <c r="T70" s="33">
        <f>-(15028*0.03)</f>
        <v>-450.84</v>
      </c>
      <c r="U70" s="33">
        <v>0</v>
      </c>
      <c r="V70" s="33">
        <v>-90.18</v>
      </c>
      <c r="W70" s="33">
        <v>0</v>
      </c>
      <c r="X70" s="25">
        <v>0</v>
      </c>
      <c r="Y70" s="16">
        <v>15.7</v>
      </c>
      <c r="Z70" s="20">
        <f>(T70+U70+V70+W70)*Y70</f>
        <v>-8494.0139999999992</v>
      </c>
      <c r="AA70" s="21">
        <v>3006</v>
      </c>
      <c r="AB70" s="21">
        <f>3006*0.03</f>
        <v>90.179999999999993</v>
      </c>
      <c r="AC70" s="33">
        <v>0</v>
      </c>
      <c r="AD70" s="27">
        <v>45</v>
      </c>
      <c r="AE70" s="25">
        <f>(AA70+AB70+AC70)*AD70</f>
        <v>139328.1</v>
      </c>
      <c r="AF70" s="19">
        <f>C70+D70+E70+F70+G70+H70+I70+J70+K70+L70+M70+N70+O70+P70+Q70+X70+Z70+AE70</f>
        <v>2650500.1984999999</v>
      </c>
      <c r="AG70" s="9">
        <f>AF70/15500</f>
        <v>171.00001280645162</v>
      </c>
      <c r="AH70" s="9">
        <f>AG70/12</f>
        <v>14.250001067204302</v>
      </c>
    </row>
    <row r="71" spans="1:34" x14ac:dyDescent="0.25">
      <c r="A71" s="29" t="s">
        <v>107</v>
      </c>
      <c r="B71" s="28">
        <v>2113825</v>
      </c>
      <c r="C71" s="22">
        <f>B71+(B71*0.05)</f>
        <v>2219516.25</v>
      </c>
      <c r="D71" s="22">
        <v>25150</v>
      </c>
      <c r="E71" s="22">
        <v>0</v>
      </c>
      <c r="F71" s="20">
        <v>0</v>
      </c>
      <c r="G71" s="20">
        <v>0</v>
      </c>
      <c r="H71" s="20">
        <v>0</v>
      </c>
      <c r="I71" s="20">
        <f>-(C71*0.07)</f>
        <v>-155366.13750000001</v>
      </c>
      <c r="J71" s="9">
        <v>240572</v>
      </c>
      <c r="K71" s="9">
        <v>0</v>
      </c>
      <c r="L71" s="9">
        <f>16275*60/5</f>
        <v>195300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16">
        <v>0</v>
      </c>
      <c r="S71" s="26">
        <v>15500</v>
      </c>
      <c r="T71" s="33">
        <v>0</v>
      </c>
      <c r="U71" s="33">
        <f>-(15500*0.05)</f>
        <v>-775</v>
      </c>
      <c r="V71" s="33">
        <v>0</v>
      </c>
      <c r="W71" s="33">
        <v>0</v>
      </c>
      <c r="X71" s="25">
        <v>0</v>
      </c>
      <c r="Y71" s="16">
        <v>15.7</v>
      </c>
      <c r="Z71" s="20">
        <f>(T71+U71+V71+W71)*Y71</f>
        <v>-12167.5</v>
      </c>
      <c r="AA71" s="21">
        <v>3100</v>
      </c>
      <c r="AB71" s="21">
        <v>0</v>
      </c>
      <c r="AC71" s="33">
        <v>0</v>
      </c>
      <c r="AD71" s="27">
        <v>45</v>
      </c>
      <c r="AE71" s="25">
        <f>(AA71+AB71+AC71)*AD71</f>
        <v>139500</v>
      </c>
      <c r="AF71" s="19">
        <f>C71+D71+E71+F71+G71+H71+I71+J71+K71+L71+M71+N71+O71+P71+Q71+X71+Z71+AE71</f>
        <v>2652504.6124999998</v>
      </c>
      <c r="AG71" s="9">
        <f>AF71/15500</f>
        <v>171.12932983870965</v>
      </c>
      <c r="AH71" s="9">
        <f>AG71/12</f>
        <v>14.260777486559137</v>
      </c>
    </row>
    <row r="72" spans="1:34" x14ac:dyDescent="0.25">
      <c r="A72" s="30" t="s">
        <v>163</v>
      </c>
      <c r="B72" s="28">
        <v>2113825</v>
      </c>
      <c r="C72" s="22">
        <f>B72+(B72*0.05)</f>
        <v>2219516.25</v>
      </c>
      <c r="D72" s="22">
        <v>25150</v>
      </c>
      <c r="E72" s="20">
        <f>-(C72*0.07)</f>
        <v>-155366.13750000001</v>
      </c>
      <c r="F72" s="20">
        <v>0</v>
      </c>
      <c r="G72" s="20">
        <v>0</v>
      </c>
      <c r="H72" s="20">
        <v>0</v>
      </c>
      <c r="I72" s="20">
        <v>0</v>
      </c>
      <c r="J72" s="9">
        <v>240572</v>
      </c>
      <c r="K72" s="9">
        <f>4000*8</f>
        <v>32000</v>
      </c>
      <c r="L72" s="9">
        <v>0</v>
      </c>
      <c r="M72" s="9">
        <v>0</v>
      </c>
      <c r="N72" s="9">
        <v>0</v>
      </c>
      <c r="O72" s="9">
        <f>15028*50/10</f>
        <v>75140</v>
      </c>
      <c r="P72" s="9">
        <v>0</v>
      </c>
      <c r="Q72" s="9">
        <f>15028*55/10</f>
        <v>82654</v>
      </c>
      <c r="R72" s="16">
        <v>0</v>
      </c>
      <c r="S72" s="26">
        <v>15028</v>
      </c>
      <c r="T72" s="33">
        <v>0</v>
      </c>
      <c r="U72" s="33">
        <v>0</v>
      </c>
      <c r="V72" s="33">
        <v>-90.18</v>
      </c>
      <c r="W72" s="33">
        <v>0</v>
      </c>
      <c r="X72" s="25">
        <v>0</v>
      </c>
      <c r="Y72" s="16">
        <v>15.7</v>
      </c>
      <c r="Z72" s="20">
        <f>(T72+U72+V72+W72)*Y72</f>
        <v>-1415.826</v>
      </c>
      <c r="AA72" s="21">
        <v>3006</v>
      </c>
      <c r="AB72" s="21">
        <f>3006*0.03</f>
        <v>90.179999999999993</v>
      </c>
      <c r="AC72" s="33">
        <v>0</v>
      </c>
      <c r="AD72" s="27">
        <v>45</v>
      </c>
      <c r="AE72" s="25">
        <f>(AA72+AB72+AC72)*AD72</f>
        <v>139328.1</v>
      </c>
      <c r="AF72" s="19">
        <f>C72+D72+E72+F72+G72+H72+I72+J72+K72+L72+M72+N72+O72+P72+Q72+X72+Z72+AE72</f>
        <v>2657578.3865</v>
      </c>
      <c r="AG72" s="9">
        <f>AF72/15500</f>
        <v>171.45667009677419</v>
      </c>
      <c r="AH72" s="9">
        <f>AG72/12</f>
        <v>14.288055841397849</v>
      </c>
    </row>
    <row r="73" spans="1:34" x14ac:dyDescent="0.25">
      <c r="A73" s="30" t="s">
        <v>76</v>
      </c>
      <c r="B73" s="28">
        <v>2113825</v>
      </c>
      <c r="C73" s="22">
        <f>B73+(B73*0.05)</f>
        <v>2219516.25</v>
      </c>
      <c r="D73" s="22">
        <v>25150</v>
      </c>
      <c r="E73" s="20">
        <f>-(C73*0.07)</f>
        <v>-155366.13750000001</v>
      </c>
      <c r="F73" s="20">
        <v>0</v>
      </c>
      <c r="G73" s="20">
        <v>0</v>
      </c>
      <c r="H73" s="20">
        <v>0</v>
      </c>
      <c r="I73" s="20">
        <v>0</v>
      </c>
      <c r="J73" s="9">
        <v>240572</v>
      </c>
      <c r="K73" s="9">
        <f>4000*8</f>
        <v>32000</v>
      </c>
      <c r="L73" s="9">
        <v>0</v>
      </c>
      <c r="M73" s="9">
        <v>0</v>
      </c>
      <c r="N73" s="9">
        <f>15500*50/10</f>
        <v>77500</v>
      </c>
      <c r="O73" s="9">
        <v>0</v>
      </c>
      <c r="P73" s="9">
        <v>85250</v>
      </c>
      <c r="Q73" s="9">
        <v>0</v>
      </c>
      <c r="R73" s="16">
        <v>0</v>
      </c>
      <c r="S73" s="26">
        <v>15500</v>
      </c>
      <c r="T73" s="33">
        <f>-(S73*0.03)</f>
        <v>-465</v>
      </c>
      <c r="U73" s="33">
        <v>0</v>
      </c>
      <c r="V73" s="33">
        <v>-93</v>
      </c>
      <c r="W73" s="33">
        <v>0</v>
      </c>
      <c r="X73" s="25">
        <v>0</v>
      </c>
      <c r="Y73" s="16">
        <v>15.7</v>
      </c>
      <c r="Z73" s="20">
        <f>(T73+U73+V73+W73)*Y73</f>
        <v>-8760.6</v>
      </c>
      <c r="AA73" s="21">
        <v>3100</v>
      </c>
      <c r="AB73" s="21">
        <f>AA73*0.03</f>
        <v>93</v>
      </c>
      <c r="AC73" s="33">
        <v>0</v>
      </c>
      <c r="AD73" s="27">
        <v>45</v>
      </c>
      <c r="AE73" s="25">
        <f>(AA73+AB73+AC73)*AD73</f>
        <v>143685</v>
      </c>
      <c r="AF73" s="19">
        <f>C73+D73+E73+F73+G73+H73+I73+J73+K73+L73+M73+N73+O73+P73+Q73+X73+Z73+AE73</f>
        <v>2659546.5124999997</v>
      </c>
      <c r="AG73" s="9">
        <f>AF73/15500</f>
        <v>171.58364596774192</v>
      </c>
      <c r="AH73" s="9">
        <f>AG73/12</f>
        <v>14.298637163978492</v>
      </c>
    </row>
    <row r="74" spans="1:34" x14ac:dyDescent="0.25">
      <c r="A74" s="30" t="s">
        <v>70</v>
      </c>
      <c r="B74" s="28">
        <v>2113825</v>
      </c>
      <c r="C74" s="22">
        <f>B74+(B74*0.05)</f>
        <v>2219516.25</v>
      </c>
      <c r="D74" s="22">
        <v>25150</v>
      </c>
      <c r="E74" s="20">
        <f>-(C74*0.07)</f>
        <v>-155366.13750000001</v>
      </c>
      <c r="F74" s="20">
        <v>0</v>
      </c>
      <c r="G74" s="20">
        <v>0</v>
      </c>
      <c r="H74" s="20">
        <v>0</v>
      </c>
      <c r="I74" s="20">
        <v>0</v>
      </c>
      <c r="J74" s="9">
        <v>240572</v>
      </c>
      <c r="K74" s="9">
        <f>4000*8</f>
        <v>32000</v>
      </c>
      <c r="L74" s="9">
        <v>0</v>
      </c>
      <c r="M74" s="9">
        <v>0</v>
      </c>
      <c r="N74" s="9">
        <f>15500*50/10</f>
        <v>77500</v>
      </c>
      <c r="O74" s="9">
        <v>0</v>
      </c>
      <c r="P74" s="9">
        <v>85250</v>
      </c>
      <c r="Q74" s="9">
        <v>0</v>
      </c>
      <c r="R74" s="16">
        <v>0</v>
      </c>
      <c r="S74" s="26">
        <v>15500</v>
      </c>
      <c r="T74" s="33">
        <v>0</v>
      </c>
      <c r="U74" s="33">
        <v>0</v>
      </c>
      <c r="V74" s="33">
        <v>-93</v>
      </c>
      <c r="W74" s="33">
        <v>0</v>
      </c>
      <c r="X74" s="25">
        <v>0</v>
      </c>
      <c r="Y74" s="16">
        <v>15.7</v>
      </c>
      <c r="Z74" s="20">
        <f>(T74+U74+V74+W74)*Y74</f>
        <v>-1460.1</v>
      </c>
      <c r="AA74" s="21">
        <v>3100</v>
      </c>
      <c r="AB74" s="21">
        <f>AA74*0.03</f>
        <v>93</v>
      </c>
      <c r="AC74" s="33">
        <v>0</v>
      </c>
      <c r="AD74" s="27">
        <v>45</v>
      </c>
      <c r="AE74" s="25">
        <f>(AA74+AB74+AC74)*AD74</f>
        <v>143685</v>
      </c>
      <c r="AF74" s="19">
        <f>C74+D74+E74+F74+G74+H74+I74+J74+K74+L74+M74+N74+O74+P74+Q74+X74+Z74+AE74</f>
        <v>2666847.0124999997</v>
      </c>
      <c r="AG74" s="9">
        <f>AF74/15500</f>
        <v>172.05464596774192</v>
      </c>
      <c r="AH74" s="9">
        <f>AG74/12</f>
        <v>14.337887163978493</v>
      </c>
    </row>
    <row r="75" spans="1:34" x14ac:dyDescent="0.25">
      <c r="A75" s="29" t="s">
        <v>130</v>
      </c>
      <c r="B75" s="28">
        <v>2113825</v>
      </c>
      <c r="C75" s="22">
        <f>B75+(B75*0.05)</f>
        <v>2219516.25</v>
      </c>
      <c r="D75" s="22">
        <v>25150</v>
      </c>
      <c r="E75" s="22">
        <v>0</v>
      </c>
      <c r="F75" s="20">
        <v>0</v>
      </c>
      <c r="G75" s="20">
        <v>0</v>
      </c>
      <c r="H75" s="20">
        <v>0</v>
      </c>
      <c r="I75" s="20">
        <v>0</v>
      </c>
      <c r="J75" s="9">
        <v>240572</v>
      </c>
      <c r="K75" s="9">
        <v>0</v>
      </c>
      <c r="L75" s="9">
        <v>0</v>
      </c>
      <c r="M75" s="9">
        <f>15779*60/5</f>
        <v>189348</v>
      </c>
      <c r="N75" s="9">
        <v>0</v>
      </c>
      <c r="O75" s="9">
        <v>0</v>
      </c>
      <c r="P75" s="9">
        <v>0</v>
      </c>
      <c r="Q75" s="9">
        <v>0</v>
      </c>
      <c r="R75" s="16">
        <v>0</v>
      </c>
      <c r="S75" s="26">
        <v>15028</v>
      </c>
      <c r="T75" s="33">
        <f>-(S75*0.03)</f>
        <v>-450.84</v>
      </c>
      <c r="U75" s="33">
        <v>0</v>
      </c>
      <c r="V75" s="33">
        <v>0</v>
      </c>
      <c r="W75" s="33">
        <v>0</v>
      </c>
      <c r="X75" s="25">
        <v>0</v>
      </c>
      <c r="Y75" s="16">
        <v>15.7</v>
      </c>
      <c r="Z75" s="20">
        <f>(T75+U75+V75+W75)*Y75</f>
        <v>-7078.1879999999992</v>
      </c>
      <c r="AA75" s="21">
        <v>3006</v>
      </c>
      <c r="AB75" s="21">
        <v>0</v>
      </c>
      <c r="AC75" s="33">
        <v>0</v>
      </c>
      <c r="AD75" s="27">
        <v>0</v>
      </c>
      <c r="AE75" s="25">
        <f>(AA75+AB75+AC75)*AD75</f>
        <v>0</v>
      </c>
      <c r="AF75" s="19">
        <f>C75+D75+E75+F75+G75+H75+I75+J75+K75+L75+M75+N75+O75+P75+Q75+X75+Z75+AE75</f>
        <v>2667508.0619999999</v>
      </c>
      <c r="AG75" s="9">
        <f>AF75/15500</f>
        <v>172.09729432258064</v>
      </c>
      <c r="AH75" s="9">
        <f>AG75/12</f>
        <v>14.341441193548386</v>
      </c>
    </row>
    <row r="76" spans="1:34" x14ac:dyDescent="0.25">
      <c r="A76" s="29" t="s">
        <v>103</v>
      </c>
      <c r="B76" s="28">
        <v>2113825</v>
      </c>
      <c r="C76" s="22">
        <f>B76+(B76*0.05)</f>
        <v>2219516.25</v>
      </c>
      <c r="D76" s="22">
        <v>25150</v>
      </c>
      <c r="E76" s="22">
        <v>0</v>
      </c>
      <c r="F76" s="20">
        <v>0</v>
      </c>
      <c r="G76" s="20">
        <v>0</v>
      </c>
      <c r="H76" s="20">
        <v>0</v>
      </c>
      <c r="I76" s="20">
        <v>0</v>
      </c>
      <c r="J76" s="9">
        <v>240572</v>
      </c>
      <c r="K76" s="9">
        <v>0</v>
      </c>
      <c r="L76" s="9">
        <f>16275*60/5</f>
        <v>195300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16">
        <v>0</v>
      </c>
      <c r="S76" s="26">
        <v>15500</v>
      </c>
      <c r="T76" s="33">
        <f>-(S76*0.03)</f>
        <v>-465</v>
      </c>
      <c r="U76" s="33">
        <v>0</v>
      </c>
      <c r="V76" s="33">
        <v>0</v>
      </c>
      <c r="W76" s="33">
        <v>0</v>
      </c>
      <c r="X76" s="25">
        <v>0</v>
      </c>
      <c r="Y76" s="16">
        <v>15.7</v>
      </c>
      <c r="Z76" s="20">
        <f>(T76+U76+V76+W76)*Y76</f>
        <v>-7300.5</v>
      </c>
      <c r="AA76" s="21">
        <v>3100</v>
      </c>
      <c r="AB76" s="21">
        <v>0</v>
      </c>
      <c r="AC76" s="33">
        <v>0</v>
      </c>
      <c r="AD76" s="27">
        <v>0</v>
      </c>
      <c r="AE76" s="25">
        <f>(AA76+AB76+AC76)*AD76</f>
        <v>0</v>
      </c>
      <c r="AF76" s="19">
        <f>C76+D76+E76+F76+G76+H76+I76+J76+K76+L76+M76+N76+O76+P76+Q76+X76+Z76+AE76</f>
        <v>2673237.75</v>
      </c>
      <c r="AG76" s="9">
        <f>AF76/15500</f>
        <v>172.46695161290322</v>
      </c>
      <c r="AH76" s="9">
        <f>AG76/12</f>
        <v>14.372245967741934</v>
      </c>
    </row>
    <row r="77" spans="1:34" x14ac:dyDescent="0.25">
      <c r="A77" s="29" t="s">
        <v>129</v>
      </c>
      <c r="B77" s="28">
        <v>2113825</v>
      </c>
      <c r="C77" s="22">
        <f>B77+(B77*0.05)</f>
        <v>2219516.25</v>
      </c>
      <c r="D77" s="22">
        <v>25150</v>
      </c>
      <c r="E77" s="22">
        <v>0</v>
      </c>
      <c r="F77" s="20">
        <v>0</v>
      </c>
      <c r="G77" s="20">
        <v>0</v>
      </c>
      <c r="H77" s="20">
        <v>0</v>
      </c>
      <c r="I77" s="20">
        <v>0</v>
      </c>
      <c r="J77" s="9">
        <v>240572</v>
      </c>
      <c r="K77" s="9">
        <v>0</v>
      </c>
      <c r="L77" s="9">
        <v>0</v>
      </c>
      <c r="M77" s="9">
        <f>15779*60/5</f>
        <v>189348</v>
      </c>
      <c r="N77" s="9">
        <v>0</v>
      </c>
      <c r="O77" s="9">
        <v>0</v>
      </c>
      <c r="P77" s="9">
        <v>0</v>
      </c>
      <c r="Q77" s="9">
        <v>0</v>
      </c>
      <c r="R77" s="16">
        <v>0</v>
      </c>
      <c r="S77" s="26">
        <v>15028</v>
      </c>
      <c r="T77" s="33">
        <v>0</v>
      </c>
      <c r="U77" s="33">
        <v>0</v>
      </c>
      <c r="V77" s="33">
        <v>0</v>
      </c>
      <c r="W77" s="33">
        <v>0</v>
      </c>
      <c r="X77" s="25">
        <v>0</v>
      </c>
      <c r="Y77" s="16">
        <v>15.7</v>
      </c>
      <c r="Z77" s="20">
        <f>(T77+U77+V77+W77)*Y77</f>
        <v>0</v>
      </c>
      <c r="AA77" s="21">
        <v>3006</v>
      </c>
      <c r="AB77" s="21">
        <v>0</v>
      </c>
      <c r="AC77" s="33">
        <v>0</v>
      </c>
      <c r="AD77" s="27">
        <v>0</v>
      </c>
      <c r="AE77" s="25">
        <f>(AA77+AB77+AC77)*AD77</f>
        <v>0</v>
      </c>
      <c r="AF77" s="19">
        <f>C77+D77+E77+F77+G77+H77+I77+J77+K77+L77+M77+N77+O77+P77+Q77+X77+Z77+AE77</f>
        <v>2674586.25</v>
      </c>
      <c r="AG77" s="9">
        <f>AF77/15500</f>
        <v>172.55395161290323</v>
      </c>
      <c r="AH77" s="9">
        <f>AG77/12</f>
        <v>14.379495967741937</v>
      </c>
    </row>
    <row r="78" spans="1:34" x14ac:dyDescent="0.25">
      <c r="A78" s="29" t="s">
        <v>102</v>
      </c>
      <c r="B78" s="28">
        <v>2113825</v>
      </c>
      <c r="C78" s="22">
        <f>B78+(B78*0.05)</f>
        <v>2219516.25</v>
      </c>
      <c r="D78" s="22">
        <v>25150</v>
      </c>
      <c r="E78" s="22">
        <v>0</v>
      </c>
      <c r="F78" s="20">
        <v>0</v>
      </c>
      <c r="G78" s="20">
        <v>0</v>
      </c>
      <c r="H78" s="20">
        <v>0</v>
      </c>
      <c r="I78" s="20">
        <v>0</v>
      </c>
      <c r="J78" s="9">
        <v>240572</v>
      </c>
      <c r="K78" s="9">
        <v>0</v>
      </c>
      <c r="L78" s="9">
        <f>16275*60/5</f>
        <v>195300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16">
        <v>0</v>
      </c>
      <c r="S78" s="26">
        <v>15500</v>
      </c>
      <c r="T78" s="33">
        <v>0</v>
      </c>
      <c r="U78" s="33">
        <v>0</v>
      </c>
      <c r="V78" s="33">
        <v>0</v>
      </c>
      <c r="W78" s="33">
        <v>0</v>
      </c>
      <c r="X78" s="25">
        <v>0</v>
      </c>
      <c r="Y78" s="16">
        <v>15.7</v>
      </c>
      <c r="Z78" s="20">
        <f>(T78+U78+V78+W78)*Y78</f>
        <v>0</v>
      </c>
      <c r="AA78" s="21">
        <v>3100</v>
      </c>
      <c r="AB78" s="21">
        <v>0</v>
      </c>
      <c r="AC78" s="33">
        <v>0</v>
      </c>
      <c r="AD78" s="27">
        <v>0</v>
      </c>
      <c r="AE78" s="25">
        <f>(AA78+AB78+AC78)*AD78</f>
        <v>0</v>
      </c>
      <c r="AF78" s="19">
        <f>C78+D78+E78+F78+G78+H78+I78+J78+K78+L78+M78+N78+O78+P78+Q78+X78+Z78+AE78</f>
        <v>2680538.25</v>
      </c>
      <c r="AG78" s="9">
        <f>AF78/15500</f>
        <v>172.93795161290322</v>
      </c>
      <c r="AH78" s="9">
        <f>AG78/12</f>
        <v>14.411495967741935</v>
      </c>
    </row>
    <row r="79" spans="1:34" x14ac:dyDescent="0.25">
      <c r="A79" s="29" t="s">
        <v>146</v>
      </c>
      <c r="B79" s="28">
        <v>2113825</v>
      </c>
      <c r="C79" s="22">
        <f>B79+(B79*0.05)</f>
        <v>2219516.25</v>
      </c>
      <c r="D79" s="22">
        <v>25150</v>
      </c>
      <c r="E79" s="22">
        <v>0</v>
      </c>
      <c r="F79" s="20">
        <f>-(C79*0.037)</f>
        <v>-82122.101249999992</v>
      </c>
      <c r="G79" s="20">
        <v>0</v>
      </c>
      <c r="H79" s="20">
        <v>0</v>
      </c>
      <c r="I79" s="20">
        <v>0</v>
      </c>
      <c r="J79" s="9">
        <v>240572</v>
      </c>
      <c r="K79" s="9">
        <f>4000*3</f>
        <v>12000</v>
      </c>
      <c r="L79" s="9">
        <v>0</v>
      </c>
      <c r="M79" s="9">
        <v>0</v>
      </c>
      <c r="N79" s="9">
        <v>0</v>
      </c>
      <c r="O79" s="9">
        <f>15028*50/10</f>
        <v>75140</v>
      </c>
      <c r="P79" s="9">
        <v>0</v>
      </c>
      <c r="Q79" s="9">
        <v>0</v>
      </c>
      <c r="R79" s="16">
        <v>0</v>
      </c>
      <c r="S79" s="26">
        <v>15028</v>
      </c>
      <c r="T79" s="33">
        <f>-(S79*0.03)</f>
        <v>-450.84</v>
      </c>
      <c r="U79" s="33">
        <v>0</v>
      </c>
      <c r="V79" s="33">
        <v>-90.18</v>
      </c>
      <c r="W79" s="33">
        <v>0</v>
      </c>
      <c r="X79" s="25">
        <v>0</v>
      </c>
      <c r="Y79" s="16">
        <v>15.7</v>
      </c>
      <c r="Z79" s="20">
        <f>(T79+U79+V79+W79)*Y79</f>
        <v>-8494.0139999999992</v>
      </c>
      <c r="AA79" s="21">
        <v>3006</v>
      </c>
      <c r="AB79" s="21">
        <f>3006*0.03</f>
        <v>90.179999999999993</v>
      </c>
      <c r="AC79" s="33">
        <v>0</v>
      </c>
      <c r="AD79" s="27">
        <v>80</v>
      </c>
      <c r="AE79" s="25">
        <f>(AA79+AB79+AC79)*AD79</f>
        <v>247694.4</v>
      </c>
      <c r="AF79" s="19">
        <f>C79+D79+E79+F79+G79+H79+I79+J79+K79+L79+M79+N79+O79+P79+Q79+X79+Z79+AE79</f>
        <v>2729456.5347500001</v>
      </c>
      <c r="AG79" s="9">
        <f>AF79/15500</f>
        <v>176.09396998387098</v>
      </c>
      <c r="AH79" s="9">
        <f>AG79/12</f>
        <v>14.674497498655915</v>
      </c>
    </row>
    <row r="80" spans="1:34" x14ac:dyDescent="0.25">
      <c r="A80" s="29" t="s">
        <v>145</v>
      </c>
      <c r="B80" s="28">
        <v>2113825</v>
      </c>
      <c r="C80" s="22">
        <f>B80+(B80*0.05)</f>
        <v>2219516.25</v>
      </c>
      <c r="D80" s="22">
        <v>25150</v>
      </c>
      <c r="E80" s="22">
        <v>0</v>
      </c>
      <c r="F80" s="20">
        <f>-(C80*0.037)</f>
        <v>-82122.101249999992</v>
      </c>
      <c r="G80" s="20">
        <v>0</v>
      </c>
      <c r="H80" s="20">
        <v>0</v>
      </c>
      <c r="I80" s="20">
        <v>0</v>
      </c>
      <c r="J80" s="9">
        <v>240572</v>
      </c>
      <c r="K80" s="9">
        <f>4000*3</f>
        <v>12000</v>
      </c>
      <c r="L80" s="9">
        <v>0</v>
      </c>
      <c r="M80" s="9">
        <v>0</v>
      </c>
      <c r="N80" s="9">
        <v>0</v>
      </c>
      <c r="O80" s="9">
        <f>15028*50/10</f>
        <v>75140</v>
      </c>
      <c r="P80" s="9">
        <v>0</v>
      </c>
      <c r="Q80" s="9">
        <v>0</v>
      </c>
      <c r="R80" s="16">
        <v>0</v>
      </c>
      <c r="S80" s="26">
        <v>15028</v>
      </c>
      <c r="T80" s="33">
        <v>0</v>
      </c>
      <c r="U80" s="33">
        <v>0</v>
      </c>
      <c r="V80" s="33">
        <v>-90.18</v>
      </c>
      <c r="W80" s="33">
        <v>0</v>
      </c>
      <c r="X80" s="25">
        <v>0</v>
      </c>
      <c r="Y80" s="16">
        <v>15.7</v>
      </c>
      <c r="Z80" s="20">
        <f>(T80+U80+V80+W80)*Y80</f>
        <v>-1415.826</v>
      </c>
      <c r="AA80" s="21">
        <v>3006</v>
      </c>
      <c r="AB80" s="21">
        <f>3006*0.03</f>
        <v>90.179999999999993</v>
      </c>
      <c r="AC80" s="33">
        <v>0</v>
      </c>
      <c r="AD80" s="27">
        <v>80</v>
      </c>
      <c r="AE80" s="25">
        <f>(AA80+AB80+AC80)*AD80</f>
        <v>247694.4</v>
      </c>
      <c r="AF80" s="19">
        <f>C80+D80+E80+F80+G80+H80+I80+J80+K80+L80+M80+N80+O80+P80+Q80+X80+Z80+AE80</f>
        <v>2736534.7227500002</v>
      </c>
      <c r="AG80" s="9">
        <f>AF80/15500</f>
        <v>176.55062727419357</v>
      </c>
      <c r="AH80" s="9">
        <f>AG80/12</f>
        <v>14.712552272849464</v>
      </c>
    </row>
    <row r="81" spans="1:34" x14ac:dyDescent="0.25">
      <c r="A81" s="29" t="s">
        <v>118</v>
      </c>
      <c r="B81" s="28">
        <v>2113825</v>
      </c>
      <c r="C81" s="22">
        <f>B81+(B81*0.05)</f>
        <v>2219516.25</v>
      </c>
      <c r="D81" s="22">
        <v>25150</v>
      </c>
      <c r="E81" s="22">
        <v>0</v>
      </c>
      <c r="F81" s="20">
        <f>-(C81*0.037)</f>
        <v>-82122.101249999992</v>
      </c>
      <c r="G81" s="20">
        <v>0</v>
      </c>
      <c r="H81" s="20">
        <v>0</v>
      </c>
      <c r="I81" s="20">
        <v>0</v>
      </c>
      <c r="J81" s="9">
        <v>240572</v>
      </c>
      <c r="K81" s="9">
        <f>4000*3</f>
        <v>12000</v>
      </c>
      <c r="L81" s="9">
        <v>0</v>
      </c>
      <c r="M81" s="9">
        <v>0</v>
      </c>
      <c r="N81" s="9">
        <f>15500*50/10</f>
        <v>77500</v>
      </c>
      <c r="O81" s="9">
        <v>0</v>
      </c>
      <c r="P81" s="9">
        <v>0</v>
      </c>
      <c r="Q81" s="9">
        <v>0</v>
      </c>
      <c r="R81" s="16">
        <v>0</v>
      </c>
      <c r="S81" s="26">
        <v>15500</v>
      </c>
      <c r="T81" s="33">
        <f>-(S81*0.03)</f>
        <v>-465</v>
      </c>
      <c r="U81" s="33">
        <v>0</v>
      </c>
      <c r="V81" s="33">
        <v>-93</v>
      </c>
      <c r="W81" s="33">
        <v>0</v>
      </c>
      <c r="X81" s="25">
        <v>0</v>
      </c>
      <c r="Y81" s="16">
        <v>15.7</v>
      </c>
      <c r="Z81" s="20">
        <f>(T81+U81+V81+W81)*Y81</f>
        <v>-8760.6</v>
      </c>
      <c r="AA81" s="21">
        <v>3100</v>
      </c>
      <c r="AB81" s="21">
        <f>AA81*0.03</f>
        <v>93</v>
      </c>
      <c r="AC81" s="33">
        <v>0</v>
      </c>
      <c r="AD81" s="27">
        <v>80</v>
      </c>
      <c r="AE81" s="25">
        <f>(AA81+AB81+AC81)*AD81</f>
        <v>255440</v>
      </c>
      <c r="AF81" s="19">
        <f>C81+D81+E81+F81+G81+H81+I81+J81+K81+L81+M81+N81+O81+P81+Q81+X81+Z81+AE81</f>
        <v>2739295.5487500001</v>
      </c>
      <c r="AG81" s="9">
        <f>AF81/15500</f>
        <v>176.72874508064515</v>
      </c>
      <c r="AH81" s="9">
        <f>AG81/12</f>
        <v>14.727395423387096</v>
      </c>
    </row>
    <row r="82" spans="1:34" x14ac:dyDescent="0.25">
      <c r="A82" s="29" t="s">
        <v>117</v>
      </c>
      <c r="B82" s="28">
        <v>2113825</v>
      </c>
      <c r="C82" s="22">
        <f>B82+(B82*0.05)</f>
        <v>2219516.25</v>
      </c>
      <c r="D82" s="22">
        <v>25150</v>
      </c>
      <c r="E82" s="22">
        <v>0</v>
      </c>
      <c r="F82" s="20">
        <f>-(C82*0.037)</f>
        <v>-82122.101249999992</v>
      </c>
      <c r="G82" s="20">
        <v>0</v>
      </c>
      <c r="H82" s="20">
        <v>0</v>
      </c>
      <c r="I82" s="20">
        <v>0</v>
      </c>
      <c r="J82" s="9">
        <v>240572</v>
      </c>
      <c r="K82" s="9">
        <f>4000*3</f>
        <v>12000</v>
      </c>
      <c r="L82" s="9">
        <v>0</v>
      </c>
      <c r="M82" s="9">
        <v>0</v>
      </c>
      <c r="N82" s="9">
        <f>15500*50/10</f>
        <v>77500</v>
      </c>
      <c r="O82" s="9">
        <v>0</v>
      </c>
      <c r="P82" s="9">
        <v>0</v>
      </c>
      <c r="Q82" s="9">
        <v>0</v>
      </c>
      <c r="R82" s="16">
        <v>0</v>
      </c>
      <c r="S82" s="26">
        <v>15500</v>
      </c>
      <c r="T82" s="33">
        <v>0</v>
      </c>
      <c r="U82" s="33">
        <v>0</v>
      </c>
      <c r="V82" s="33">
        <v>-93</v>
      </c>
      <c r="W82" s="33">
        <v>0</v>
      </c>
      <c r="X82" s="25">
        <v>0</v>
      </c>
      <c r="Y82" s="16">
        <v>15.7</v>
      </c>
      <c r="Z82" s="20">
        <f>(T82+U82+V82+W82)*Y82</f>
        <v>-1460.1</v>
      </c>
      <c r="AA82" s="21">
        <v>3100</v>
      </c>
      <c r="AB82" s="21">
        <f>AA82*0.03</f>
        <v>93</v>
      </c>
      <c r="AC82" s="33">
        <v>0</v>
      </c>
      <c r="AD82" s="27">
        <v>80</v>
      </c>
      <c r="AE82" s="25">
        <f>(AA82+AB82+AC82)*AD82</f>
        <v>255440</v>
      </c>
      <c r="AF82" s="19">
        <f>C82+D82+E82+F82+G82+H82+I82+J82+K82+L82+M82+N82+O82+P82+Q82+X82+Z82+AE82</f>
        <v>2746596.0487500001</v>
      </c>
      <c r="AG82" s="9">
        <f>AF82/15500</f>
        <v>177.19974508064516</v>
      </c>
      <c r="AH82" s="9">
        <f>AG82/12</f>
        <v>14.766645423387097</v>
      </c>
    </row>
    <row r="83" spans="1:34" x14ac:dyDescent="0.25">
      <c r="A83" s="29" t="s">
        <v>137</v>
      </c>
      <c r="B83" s="28">
        <v>2113825</v>
      </c>
      <c r="C83" s="22">
        <f>B83+(B83*0.05)</f>
        <v>2219516.25</v>
      </c>
      <c r="D83" s="22">
        <v>25150</v>
      </c>
      <c r="E83" s="22">
        <v>0</v>
      </c>
      <c r="F83" s="20">
        <v>0</v>
      </c>
      <c r="G83" s="20">
        <v>0</v>
      </c>
      <c r="H83" s="20">
        <v>0</v>
      </c>
      <c r="I83" s="20">
        <f>-(C83*0.07)</f>
        <v>-155366.13750000001</v>
      </c>
      <c r="J83" s="9">
        <v>240572</v>
      </c>
      <c r="K83" s="9">
        <v>0</v>
      </c>
      <c r="L83" s="9">
        <v>0</v>
      </c>
      <c r="M83" s="9">
        <f>15779*60/5</f>
        <v>189348</v>
      </c>
      <c r="N83" s="9">
        <v>0</v>
      </c>
      <c r="O83" s="9">
        <v>0</v>
      </c>
      <c r="P83" s="9">
        <v>0</v>
      </c>
      <c r="Q83" s="9">
        <v>0</v>
      </c>
      <c r="R83" s="16">
        <v>0</v>
      </c>
      <c r="S83" s="26">
        <v>15028</v>
      </c>
      <c r="T83" s="33">
        <v>0</v>
      </c>
      <c r="U83" s="33">
        <f>-(S83*0.05)</f>
        <v>-751.40000000000009</v>
      </c>
      <c r="V83" s="33">
        <v>0</v>
      </c>
      <c r="W83" s="33">
        <v>0</v>
      </c>
      <c r="X83" s="25">
        <v>0</v>
      </c>
      <c r="Y83" s="16">
        <v>15.7</v>
      </c>
      <c r="Z83" s="20">
        <f>(T83+U83+V83+W83)*Y83</f>
        <v>-11796.980000000001</v>
      </c>
      <c r="AA83" s="21">
        <v>3006</v>
      </c>
      <c r="AB83" s="21">
        <v>0</v>
      </c>
      <c r="AC83" s="33">
        <v>0</v>
      </c>
      <c r="AD83" s="27">
        <v>80</v>
      </c>
      <c r="AE83" s="25">
        <f>(AA83+AB83+AC83)*AD83</f>
        <v>240480</v>
      </c>
      <c r="AF83" s="19">
        <f>C83+D83+E83+F83+G83+H83+I83+J83+K83+L83+M83+N83+O83+P83+Q83+X83+Z83+AE83</f>
        <v>2747903.1324999998</v>
      </c>
      <c r="AG83" s="9">
        <f>AF83/15500</f>
        <v>177.28407306451612</v>
      </c>
      <c r="AH83" s="9">
        <f>AG83/12</f>
        <v>14.773672755376344</v>
      </c>
    </row>
    <row r="84" spans="1:34" x14ac:dyDescent="0.25">
      <c r="A84" s="30" t="s">
        <v>167</v>
      </c>
      <c r="B84" s="28">
        <v>2113825</v>
      </c>
      <c r="C84" s="22">
        <f>B84+(B84*0.05)</f>
        <v>2219516.25</v>
      </c>
      <c r="D84" s="22">
        <v>25150</v>
      </c>
      <c r="E84" s="20">
        <f>-(C84*0.07)</f>
        <v>-155366.13750000001</v>
      </c>
      <c r="F84" s="20">
        <v>0</v>
      </c>
      <c r="G84" s="20">
        <v>0</v>
      </c>
      <c r="H84" s="20">
        <v>0</v>
      </c>
      <c r="I84" s="20">
        <v>0</v>
      </c>
      <c r="J84" s="9">
        <v>240572</v>
      </c>
      <c r="K84" s="9">
        <f>4000*8</f>
        <v>32000</v>
      </c>
      <c r="L84" s="9">
        <v>0</v>
      </c>
      <c r="M84" s="9">
        <v>0</v>
      </c>
      <c r="N84" s="9">
        <v>0</v>
      </c>
      <c r="O84" s="9">
        <f>15028*50/10</f>
        <v>75140</v>
      </c>
      <c r="P84" s="9">
        <v>0</v>
      </c>
      <c r="Q84" s="9">
        <f>15028*55/10</f>
        <v>82654</v>
      </c>
      <c r="R84" s="16">
        <v>0</v>
      </c>
      <c r="S84" s="26">
        <v>15028</v>
      </c>
      <c r="T84" s="33">
        <f>-(15028*0.03)</f>
        <v>-450.84</v>
      </c>
      <c r="U84" s="33">
        <v>0</v>
      </c>
      <c r="V84" s="33">
        <v>-90.18</v>
      </c>
      <c r="W84" s="33">
        <v>0</v>
      </c>
      <c r="X84" s="25">
        <v>0</v>
      </c>
      <c r="Y84" s="16">
        <v>15.7</v>
      </c>
      <c r="Z84" s="20">
        <f>(T84+U84+V84+W84)*Y84</f>
        <v>-8494.0139999999992</v>
      </c>
      <c r="AA84" s="21">
        <v>3006</v>
      </c>
      <c r="AB84" s="21">
        <f>3006*0.03</f>
        <v>90.179999999999993</v>
      </c>
      <c r="AC84" s="33">
        <v>0</v>
      </c>
      <c r="AD84" s="27">
        <v>80</v>
      </c>
      <c r="AE84" s="25">
        <f>(AA84+AB84+AC84)*AD84</f>
        <v>247694.4</v>
      </c>
      <c r="AF84" s="19">
        <f>C84+D84+E84+F84+G84+H84+I84+J84+K84+L84+M84+N84+O84+P84+Q84+X84+Z84+AE84</f>
        <v>2758866.4984999998</v>
      </c>
      <c r="AG84" s="9">
        <f>AF84/15500</f>
        <v>177.99138699999997</v>
      </c>
      <c r="AH84" s="9">
        <f>AG84/12</f>
        <v>14.832615583333331</v>
      </c>
    </row>
    <row r="85" spans="1:34" x14ac:dyDescent="0.25">
      <c r="A85" s="29" t="s">
        <v>110</v>
      </c>
      <c r="B85" s="28">
        <v>2113825</v>
      </c>
      <c r="C85" s="22">
        <f>B85+(B85*0.05)</f>
        <v>2219516.25</v>
      </c>
      <c r="D85" s="22">
        <v>25150</v>
      </c>
      <c r="E85" s="22">
        <v>0</v>
      </c>
      <c r="F85" s="20">
        <v>0</v>
      </c>
      <c r="G85" s="20">
        <v>0</v>
      </c>
      <c r="H85" s="20">
        <v>0</v>
      </c>
      <c r="I85" s="20">
        <f>-(C85*0.07)</f>
        <v>-155366.13750000001</v>
      </c>
      <c r="J85" s="9">
        <v>240572</v>
      </c>
      <c r="K85" s="9">
        <v>0</v>
      </c>
      <c r="L85" s="9">
        <f>16275*60/5</f>
        <v>195300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16">
        <v>0</v>
      </c>
      <c r="S85" s="26">
        <v>15500</v>
      </c>
      <c r="T85" s="33">
        <v>0</v>
      </c>
      <c r="U85" s="33">
        <f>-(15500*0.05)</f>
        <v>-775</v>
      </c>
      <c r="V85" s="33">
        <v>0</v>
      </c>
      <c r="W85" s="33">
        <v>0</v>
      </c>
      <c r="X85" s="25">
        <v>0</v>
      </c>
      <c r="Y85" s="16">
        <v>15.7</v>
      </c>
      <c r="Z85" s="20">
        <f>(T85+U85+V85+W85)*Y85</f>
        <v>-12167.5</v>
      </c>
      <c r="AA85" s="21">
        <v>3100</v>
      </c>
      <c r="AB85" s="21">
        <v>0</v>
      </c>
      <c r="AC85" s="33">
        <v>0</v>
      </c>
      <c r="AD85" s="27">
        <v>80</v>
      </c>
      <c r="AE85" s="25">
        <f>(AA85+AB85+AC85)*AD85</f>
        <v>248000</v>
      </c>
      <c r="AF85" s="19">
        <f>C85+D85+E85+F85+G85+H85+I85+J85+K85+L85+M85+N85+O85+P85+Q85+X85+Z85+AE85</f>
        <v>2761004.6124999998</v>
      </c>
      <c r="AG85" s="9">
        <f>AF85/15500</f>
        <v>178.12932983870965</v>
      </c>
      <c r="AH85" s="9">
        <f>AG85/12</f>
        <v>14.844110819892471</v>
      </c>
    </row>
    <row r="86" spans="1:34" x14ac:dyDescent="0.25">
      <c r="A86" s="30" t="s">
        <v>166</v>
      </c>
      <c r="B86" s="28">
        <v>2113825</v>
      </c>
      <c r="C86" s="22">
        <f>B86+(B86*0.05)</f>
        <v>2219516.25</v>
      </c>
      <c r="D86" s="22">
        <v>25150</v>
      </c>
      <c r="E86" s="20">
        <f>-(C86*0.07)</f>
        <v>-155366.13750000001</v>
      </c>
      <c r="F86" s="20">
        <v>0</v>
      </c>
      <c r="G86" s="20">
        <v>0</v>
      </c>
      <c r="H86" s="20">
        <v>0</v>
      </c>
      <c r="I86" s="20">
        <v>0</v>
      </c>
      <c r="J86" s="9">
        <v>240572</v>
      </c>
      <c r="K86" s="9">
        <f>4000*8</f>
        <v>32000</v>
      </c>
      <c r="L86" s="9">
        <v>0</v>
      </c>
      <c r="M86" s="9">
        <v>0</v>
      </c>
      <c r="N86" s="9">
        <v>0</v>
      </c>
      <c r="O86" s="9">
        <f>15028*50/10</f>
        <v>75140</v>
      </c>
      <c r="P86" s="9">
        <v>0</v>
      </c>
      <c r="Q86" s="9">
        <f>15028*55/10</f>
        <v>82654</v>
      </c>
      <c r="R86" s="16">
        <v>0</v>
      </c>
      <c r="S86" s="26">
        <v>15028</v>
      </c>
      <c r="T86" s="33">
        <v>0</v>
      </c>
      <c r="U86" s="33">
        <v>0</v>
      </c>
      <c r="V86" s="33">
        <v>-90.18</v>
      </c>
      <c r="W86" s="33">
        <v>0</v>
      </c>
      <c r="X86" s="25">
        <v>0</v>
      </c>
      <c r="Y86" s="16">
        <v>15.7</v>
      </c>
      <c r="Z86" s="20">
        <f>(T86+U86+V86+W86)*Y86</f>
        <v>-1415.826</v>
      </c>
      <c r="AA86" s="21">
        <v>3006</v>
      </c>
      <c r="AB86" s="21">
        <f>3006*0.03</f>
        <v>90.179999999999993</v>
      </c>
      <c r="AC86" s="33">
        <v>0</v>
      </c>
      <c r="AD86" s="27">
        <v>80</v>
      </c>
      <c r="AE86" s="25">
        <f>(AA86+AB86+AC86)*AD86</f>
        <v>247694.4</v>
      </c>
      <c r="AF86" s="19">
        <f>C86+D86+E86+F86+G86+H86+I86+J86+K86+L86+M86+N86+O86+P86+Q86+X86+Z86+AE86</f>
        <v>2765944.6864999998</v>
      </c>
      <c r="AG86" s="9">
        <f>AF86/15500</f>
        <v>178.44804429032257</v>
      </c>
      <c r="AH86" s="9">
        <f>AG86/12</f>
        <v>14.870670357526881</v>
      </c>
    </row>
    <row r="87" spans="1:34" x14ac:dyDescent="0.25">
      <c r="A87" s="30" t="s">
        <v>77</v>
      </c>
      <c r="B87" s="28">
        <v>2113825</v>
      </c>
      <c r="C87" s="22">
        <f>B87+(B87*0.05)</f>
        <v>2219516.25</v>
      </c>
      <c r="D87" s="22">
        <v>25150</v>
      </c>
      <c r="E87" s="20">
        <f>-(C87*0.07)</f>
        <v>-155366.13750000001</v>
      </c>
      <c r="F87" s="20">
        <v>0</v>
      </c>
      <c r="G87" s="20">
        <v>0</v>
      </c>
      <c r="H87" s="20">
        <v>0</v>
      </c>
      <c r="I87" s="20">
        <v>0</v>
      </c>
      <c r="J87" s="9">
        <v>240572</v>
      </c>
      <c r="K87" s="9">
        <f>4000*8</f>
        <v>32000</v>
      </c>
      <c r="L87" s="9">
        <v>0</v>
      </c>
      <c r="M87" s="9">
        <v>0</v>
      </c>
      <c r="N87" s="9">
        <f>15500*50/10</f>
        <v>77500</v>
      </c>
      <c r="O87" s="9">
        <v>0</v>
      </c>
      <c r="P87" s="9">
        <v>85250</v>
      </c>
      <c r="Q87" s="9">
        <v>0</v>
      </c>
      <c r="R87" s="16">
        <v>0</v>
      </c>
      <c r="S87" s="26">
        <v>15500</v>
      </c>
      <c r="T87" s="33">
        <f>-(S87*0.03)</f>
        <v>-465</v>
      </c>
      <c r="U87" s="33">
        <v>0</v>
      </c>
      <c r="V87" s="33">
        <v>-93</v>
      </c>
      <c r="W87" s="33">
        <v>0</v>
      </c>
      <c r="X87" s="25">
        <v>0</v>
      </c>
      <c r="Y87" s="16">
        <v>15.7</v>
      </c>
      <c r="Z87" s="20">
        <f>(T87+U87+V87+W87)*Y87</f>
        <v>-8760.6</v>
      </c>
      <c r="AA87" s="21">
        <v>3100</v>
      </c>
      <c r="AB87" s="21">
        <f>AA87*0.03</f>
        <v>93</v>
      </c>
      <c r="AC87" s="33">
        <v>0</v>
      </c>
      <c r="AD87" s="27">
        <v>80</v>
      </c>
      <c r="AE87" s="25">
        <f>(AA87+AB87+AC87)*AD87</f>
        <v>255440</v>
      </c>
      <c r="AF87" s="19">
        <f>C87+D87+E87+F87+G87+H87+I87+J87+K87+L87+M87+N87+O87+P87+Q87+X87+Z87+AE87</f>
        <v>2771301.5124999997</v>
      </c>
      <c r="AG87" s="9">
        <f>AF87/15500</f>
        <v>178.79364596774192</v>
      </c>
      <c r="AH87" s="9">
        <f>AG87/12</f>
        <v>14.899470497311826</v>
      </c>
    </row>
    <row r="88" spans="1:34" x14ac:dyDescent="0.25">
      <c r="A88" s="30" t="s">
        <v>71</v>
      </c>
      <c r="B88" s="28">
        <v>2113825</v>
      </c>
      <c r="C88" s="22">
        <f>B88+(B88*0.05)</f>
        <v>2219516.25</v>
      </c>
      <c r="D88" s="22">
        <v>25150</v>
      </c>
      <c r="E88" s="20">
        <f>-(C88*0.07)</f>
        <v>-155366.13750000001</v>
      </c>
      <c r="F88" s="20">
        <v>0</v>
      </c>
      <c r="G88" s="20">
        <v>0</v>
      </c>
      <c r="H88" s="20">
        <v>0</v>
      </c>
      <c r="I88" s="20">
        <v>0</v>
      </c>
      <c r="J88" s="9">
        <v>240572</v>
      </c>
      <c r="K88" s="9">
        <f>4000*8</f>
        <v>32000</v>
      </c>
      <c r="L88" s="9">
        <v>0</v>
      </c>
      <c r="M88" s="9">
        <v>0</v>
      </c>
      <c r="N88" s="9">
        <f>15500*50/10</f>
        <v>77500</v>
      </c>
      <c r="O88" s="9">
        <v>0</v>
      </c>
      <c r="P88" s="9">
        <v>85250</v>
      </c>
      <c r="Q88" s="9">
        <v>0</v>
      </c>
      <c r="R88" s="16">
        <v>0</v>
      </c>
      <c r="S88" s="26">
        <v>15500</v>
      </c>
      <c r="T88" s="33">
        <v>0</v>
      </c>
      <c r="U88" s="33">
        <v>0</v>
      </c>
      <c r="V88" s="33">
        <v>-93</v>
      </c>
      <c r="W88" s="33">
        <v>0</v>
      </c>
      <c r="X88" s="25">
        <v>0</v>
      </c>
      <c r="Y88" s="16">
        <v>15.7</v>
      </c>
      <c r="Z88" s="20">
        <f>(T88+U88+V88+W88)*Y88</f>
        <v>-1460.1</v>
      </c>
      <c r="AA88" s="21">
        <v>3100</v>
      </c>
      <c r="AB88" s="21">
        <f>AA88*0.03</f>
        <v>93</v>
      </c>
      <c r="AC88" s="33">
        <v>0</v>
      </c>
      <c r="AD88" s="27">
        <v>80</v>
      </c>
      <c r="AE88" s="25">
        <f>(AA88+AB88+AC88)*AD88</f>
        <v>255440</v>
      </c>
      <c r="AF88" s="19">
        <f>C88+D88+E88+F88+G88+H88+I88+J88+K88+L88+M88+N88+O88+P88+Q88+X88+Z88+AE88</f>
        <v>2778602.0124999997</v>
      </c>
      <c r="AG88" s="9">
        <f>AF88/15500</f>
        <v>179.26464596774193</v>
      </c>
      <c r="AH88" s="9">
        <f>AG88/12</f>
        <v>14.938720497311827</v>
      </c>
    </row>
    <row r="89" spans="1:34" x14ac:dyDescent="0.25">
      <c r="A89" s="29" t="s">
        <v>133</v>
      </c>
      <c r="B89" s="28">
        <v>2113825</v>
      </c>
      <c r="C89" s="22">
        <f>B89+(B89*0.05)</f>
        <v>2219516.25</v>
      </c>
      <c r="D89" s="22">
        <v>25150</v>
      </c>
      <c r="E89" s="22">
        <v>0</v>
      </c>
      <c r="F89" s="20">
        <v>0</v>
      </c>
      <c r="G89" s="20">
        <v>0</v>
      </c>
      <c r="H89" s="20">
        <v>0</v>
      </c>
      <c r="I89" s="20">
        <v>0</v>
      </c>
      <c r="J89" s="9">
        <v>240572</v>
      </c>
      <c r="K89" s="9">
        <v>0</v>
      </c>
      <c r="L89" s="9">
        <v>0</v>
      </c>
      <c r="M89" s="9">
        <f>15779*60/5</f>
        <v>189348</v>
      </c>
      <c r="N89" s="9">
        <v>0</v>
      </c>
      <c r="O89" s="9">
        <v>0</v>
      </c>
      <c r="P89" s="9">
        <v>0</v>
      </c>
      <c r="Q89" s="9">
        <v>0</v>
      </c>
      <c r="R89" s="16">
        <v>0</v>
      </c>
      <c r="S89" s="26">
        <v>15028</v>
      </c>
      <c r="T89" s="33">
        <f>-(S89*0.03)</f>
        <v>-450.84</v>
      </c>
      <c r="U89" s="33">
        <v>0</v>
      </c>
      <c r="V89" s="33">
        <v>0</v>
      </c>
      <c r="W89" s="33">
        <v>0</v>
      </c>
      <c r="X89" s="25">
        <v>0</v>
      </c>
      <c r="Y89" s="16">
        <v>15.7</v>
      </c>
      <c r="Z89" s="20">
        <f>(T89+U89+V89+W89)*Y89</f>
        <v>-7078.1879999999992</v>
      </c>
      <c r="AA89" s="21">
        <v>3006</v>
      </c>
      <c r="AB89" s="21">
        <v>0</v>
      </c>
      <c r="AC89" s="33">
        <v>0</v>
      </c>
      <c r="AD89" s="27">
        <v>45</v>
      </c>
      <c r="AE89" s="25">
        <f>(AA89+AB89+AC89)*AD89</f>
        <v>135270</v>
      </c>
      <c r="AF89" s="19">
        <f>C89+D89+E89+F89+G89+H89+I89+J89+K89+L89+M89+N89+O89+P89+Q89+X89+Z89+AE89</f>
        <v>2802778.0619999999</v>
      </c>
      <c r="AG89" s="9">
        <f>AF89/15500</f>
        <v>180.82439109677418</v>
      </c>
      <c r="AH89" s="9">
        <f>AG89/12</f>
        <v>15.068699258064514</v>
      </c>
    </row>
    <row r="90" spans="1:34" x14ac:dyDescent="0.25">
      <c r="A90" s="29" t="s">
        <v>132</v>
      </c>
      <c r="B90" s="28">
        <v>2113825</v>
      </c>
      <c r="C90" s="22">
        <f>B90+(B90*0.05)</f>
        <v>2219516.25</v>
      </c>
      <c r="D90" s="22">
        <v>25150</v>
      </c>
      <c r="E90" s="22">
        <v>0</v>
      </c>
      <c r="F90" s="20">
        <v>0</v>
      </c>
      <c r="G90" s="20">
        <v>0</v>
      </c>
      <c r="H90" s="20">
        <v>0</v>
      </c>
      <c r="I90" s="20">
        <v>0</v>
      </c>
      <c r="J90" s="9">
        <v>240572</v>
      </c>
      <c r="K90" s="9">
        <v>0</v>
      </c>
      <c r="L90" s="9">
        <v>0</v>
      </c>
      <c r="M90" s="9">
        <f>15779*60/5</f>
        <v>189348</v>
      </c>
      <c r="N90" s="9">
        <v>0</v>
      </c>
      <c r="O90" s="9">
        <v>0</v>
      </c>
      <c r="P90" s="9">
        <v>0</v>
      </c>
      <c r="Q90" s="9">
        <v>0</v>
      </c>
      <c r="R90" s="16">
        <v>0</v>
      </c>
      <c r="S90" s="26">
        <v>15028</v>
      </c>
      <c r="T90" s="33">
        <v>0</v>
      </c>
      <c r="U90" s="33">
        <v>0</v>
      </c>
      <c r="V90" s="33">
        <v>0</v>
      </c>
      <c r="W90" s="33">
        <v>0</v>
      </c>
      <c r="X90" s="25">
        <v>0</v>
      </c>
      <c r="Y90" s="16">
        <v>15.7</v>
      </c>
      <c r="Z90" s="20">
        <f>(T90+U90+V90+W90)*Y90</f>
        <v>0</v>
      </c>
      <c r="AA90" s="21">
        <v>3006</v>
      </c>
      <c r="AB90" s="21">
        <v>0</v>
      </c>
      <c r="AC90" s="33">
        <v>0</v>
      </c>
      <c r="AD90" s="27">
        <v>45</v>
      </c>
      <c r="AE90" s="25">
        <f>(AA90+AB90+AC90)*AD90</f>
        <v>135270</v>
      </c>
      <c r="AF90" s="19">
        <f>C90+D90+E90+F90+G90+H90+I90+J90+K90+L90+M90+N90+O90+P90+Q90+X90+Z90+AE90</f>
        <v>2809856.25</v>
      </c>
      <c r="AG90" s="9">
        <f>AF90/15500</f>
        <v>181.28104838709677</v>
      </c>
      <c r="AH90" s="9">
        <f>AG90/12</f>
        <v>15.106754032258065</v>
      </c>
    </row>
    <row r="91" spans="1:34" x14ac:dyDescent="0.25">
      <c r="A91" s="29" t="s">
        <v>106</v>
      </c>
      <c r="B91" s="28">
        <v>2113825</v>
      </c>
      <c r="C91" s="22">
        <f>B91+(B91*0.05)</f>
        <v>2219516.25</v>
      </c>
      <c r="D91" s="22">
        <v>25150</v>
      </c>
      <c r="E91" s="22">
        <v>0</v>
      </c>
      <c r="F91" s="20">
        <v>0</v>
      </c>
      <c r="G91" s="20">
        <v>0</v>
      </c>
      <c r="H91" s="20">
        <v>0</v>
      </c>
      <c r="I91" s="20">
        <v>0</v>
      </c>
      <c r="J91" s="9">
        <v>240572</v>
      </c>
      <c r="K91" s="9">
        <v>0</v>
      </c>
      <c r="L91" s="9">
        <f>16275*60/5</f>
        <v>195300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16">
        <v>0</v>
      </c>
      <c r="S91" s="26">
        <v>15500</v>
      </c>
      <c r="T91" s="33">
        <f>-(S91*0.03)</f>
        <v>-465</v>
      </c>
      <c r="U91" s="33">
        <v>0</v>
      </c>
      <c r="V91" s="33">
        <v>0</v>
      </c>
      <c r="W91" s="33">
        <v>0</v>
      </c>
      <c r="X91" s="25">
        <v>0</v>
      </c>
      <c r="Y91" s="16">
        <v>15.7</v>
      </c>
      <c r="Z91" s="20">
        <f>(T91+U91+V91+W91)*Y91</f>
        <v>-7300.5</v>
      </c>
      <c r="AA91" s="21">
        <v>3100</v>
      </c>
      <c r="AB91" s="21">
        <v>0</v>
      </c>
      <c r="AC91" s="33">
        <v>0</v>
      </c>
      <c r="AD91" s="27">
        <v>45</v>
      </c>
      <c r="AE91" s="25">
        <f>(AA91+AB91+AC91)*AD91</f>
        <v>139500</v>
      </c>
      <c r="AF91" s="19">
        <f>C91+D91+E91+F91+G91+H91+I91+J91+K91+L91+M91+N91+O91+P91+Q91+X91+Z91+AE91</f>
        <v>2812737.75</v>
      </c>
      <c r="AG91" s="9">
        <f>AF91/15500</f>
        <v>181.46695161290322</v>
      </c>
      <c r="AH91" s="9">
        <f>AG91/12</f>
        <v>15.122245967741934</v>
      </c>
    </row>
    <row r="92" spans="1:34" x14ac:dyDescent="0.25">
      <c r="A92" s="29" t="s">
        <v>105</v>
      </c>
      <c r="B92" s="28">
        <v>2113825</v>
      </c>
      <c r="C92" s="22">
        <f>B92+(B92*0.05)</f>
        <v>2219516.25</v>
      </c>
      <c r="D92" s="22">
        <v>25150</v>
      </c>
      <c r="E92" s="22">
        <v>0</v>
      </c>
      <c r="F92" s="20">
        <v>0</v>
      </c>
      <c r="G92" s="20">
        <v>0</v>
      </c>
      <c r="H92" s="20">
        <v>0</v>
      </c>
      <c r="I92" s="20">
        <v>0</v>
      </c>
      <c r="J92" s="9">
        <v>240572</v>
      </c>
      <c r="K92" s="9">
        <v>0</v>
      </c>
      <c r="L92" s="9">
        <f>16275*60/5</f>
        <v>195300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16">
        <v>0</v>
      </c>
      <c r="S92" s="26">
        <v>15500</v>
      </c>
      <c r="T92" s="33">
        <v>0</v>
      </c>
      <c r="U92" s="33">
        <v>0</v>
      </c>
      <c r="V92" s="33">
        <v>0</v>
      </c>
      <c r="W92" s="33">
        <v>0</v>
      </c>
      <c r="X92" s="25">
        <v>0</v>
      </c>
      <c r="Y92" s="16">
        <v>15.7</v>
      </c>
      <c r="Z92" s="20">
        <f>(T92+U92+V92+W92)*Y92</f>
        <v>0</v>
      </c>
      <c r="AA92" s="21">
        <v>3100</v>
      </c>
      <c r="AB92" s="21">
        <v>0</v>
      </c>
      <c r="AC92" s="33">
        <v>0</v>
      </c>
      <c r="AD92" s="27">
        <v>45</v>
      </c>
      <c r="AE92" s="25">
        <f>(AA92+AB92+AC92)*AD92</f>
        <v>139500</v>
      </c>
      <c r="AF92" s="19">
        <f>C92+D92+E92+F92+G92+H92+I92+J92+K92+L92+M92+N92+O92+P92+Q92+X92+Z92+AE92</f>
        <v>2820038.25</v>
      </c>
      <c r="AG92" s="9">
        <f>AF92/15500</f>
        <v>181.93795161290322</v>
      </c>
      <c r="AH92" s="9">
        <f>AG92/12</f>
        <v>15.161495967741935</v>
      </c>
    </row>
    <row r="93" spans="1:34" x14ac:dyDescent="0.25">
      <c r="A93" s="29" t="s">
        <v>136</v>
      </c>
      <c r="B93" s="28">
        <v>2113825</v>
      </c>
      <c r="C93" s="22">
        <f>B93+(B93*0.05)</f>
        <v>2219516.25</v>
      </c>
      <c r="D93" s="22">
        <v>25150</v>
      </c>
      <c r="E93" s="22">
        <v>0</v>
      </c>
      <c r="F93" s="20">
        <v>0</v>
      </c>
      <c r="G93" s="20">
        <v>0</v>
      </c>
      <c r="H93" s="20">
        <v>0</v>
      </c>
      <c r="I93" s="20">
        <v>0</v>
      </c>
      <c r="J93" s="9">
        <v>240572</v>
      </c>
      <c r="K93" s="9">
        <v>0</v>
      </c>
      <c r="L93" s="9">
        <v>0</v>
      </c>
      <c r="M93" s="9">
        <f>15779*60/5</f>
        <v>189348</v>
      </c>
      <c r="N93" s="9">
        <v>0</v>
      </c>
      <c r="O93" s="9">
        <v>0</v>
      </c>
      <c r="P93" s="9">
        <v>0</v>
      </c>
      <c r="Q93" s="9">
        <v>0</v>
      </c>
      <c r="R93" s="16">
        <v>0</v>
      </c>
      <c r="S93" s="26">
        <v>15028</v>
      </c>
      <c r="T93" s="33">
        <f>-(S93*0.03)</f>
        <v>-450.84</v>
      </c>
      <c r="U93" s="33">
        <v>0</v>
      </c>
      <c r="V93" s="33">
        <v>0</v>
      </c>
      <c r="W93" s="33">
        <v>0</v>
      </c>
      <c r="X93" s="25">
        <v>0</v>
      </c>
      <c r="Y93" s="16">
        <v>15.7</v>
      </c>
      <c r="Z93" s="20">
        <f>(T93+U93+V93+W93)*Y93</f>
        <v>-7078.1879999999992</v>
      </c>
      <c r="AA93" s="21">
        <v>3006</v>
      </c>
      <c r="AB93" s="21">
        <v>0</v>
      </c>
      <c r="AC93" s="33">
        <v>0</v>
      </c>
      <c r="AD93" s="27">
        <v>80</v>
      </c>
      <c r="AE93" s="25">
        <f>(AA93+AB93+AC93)*AD93</f>
        <v>240480</v>
      </c>
      <c r="AF93" s="19">
        <f>C93+D93+E93+F93+G93+H93+I93+J93+K93+L93+M93+N93+O93+P93+Q93+X93+Z93+AE93</f>
        <v>2907988.0619999999</v>
      </c>
      <c r="AG93" s="9">
        <f>AF93/15500</f>
        <v>187.61213303225807</v>
      </c>
      <c r="AH93" s="9">
        <f>AG93/12</f>
        <v>15.634344419354839</v>
      </c>
    </row>
    <row r="94" spans="1:34" x14ac:dyDescent="0.25">
      <c r="A94" s="31" t="s">
        <v>58</v>
      </c>
      <c r="B94" s="27">
        <v>0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  <c r="H94" s="20">
        <v>0</v>
      </c>
      <c r="I94" s="25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/>
      <c r="R94" s="16">
        <f>10.57*12</f>
        <v>126.84</v>
      </c>
      <c r="S94" s="26">
        <v>15500</v>
      </c>
      <c r="T94" s="33">
        <v>0</v>
      </c>
      <c r="U94" s="33">
        <v>0</v>
      </c>
      <c r="V94" s="33">
        <v>-93</v>
      </c>
      <c r="W94" s="33">
        <v>0</v>
      </c>
      <c r="X94" s="9">
        <f>R94*15500</f>
        <v>1966020</v>
      </c>
      <c r="Y94" s="16">
        <v>44.56</v>
      </c>
      <c r="Z94" s="20">
        <f>(S94+T94+U94+V94+W94)*Y94</f>
        <v>686535.92</v>
      </c>
      <c r="AA94" s="21">
        <v>3100</v>
      </c>
      <c r="AB94" s="21">
        <f>AA94*0.03</f>
        <v>93</v>
      </c>
      <c r="AC94" s="33">
        <v>0</v>
      </c>
      <c r="AD94" s="27">
        <v>80</v>
      </c>
      <c r="AE94" s="25">
        <f>(AA94+AB94+AC94)*AD94</f>
        <v>255440</v>
      </c>
      <c r="AF94" s="19">
        <f>C94+E94+F94+G94+H94+I94+J94+K94+L94+M94+N94+O94+P94+Q94+X94+Z94+AE94</f>
        <v>2907995.92</v>
      </c>
      <c r="AG94" s="9">
        <f>AF94/15500</f>
        <v>187.61264</v>
      </c>
      <c r="AH94" s="9">
        <f>AG94/12</f>
        <v>15.634386666666666</v>
      </c>
    </row>
    <row r="95" spans="1:34" x14ac:dyDescent="0.25">
      <c r="A95" s="29" t="s">
        <v>135</v>
      </c>
      <c r="B95" s="28">
        <v>2113825</v>
      </c>
      <c r="C95" s="22">
        <f>B95+(B95*0.05)</f>
        <v>2219516.25</v>
      </c>
      <c r="D95" s="22">
        <v>25150</v>
      </c>
      <c r="E95" s="22">
        <v>0</v>
      </c>
      <c r="F95" s="20">
        <v>0</v>
      </c>
      <c r="G95" s="20">
        <v>0</v>
      </c>
      <c r="H95" s="20">
        <v>0</v>
      </c>
      <c r="I95" s="20">
        <v>0</v>
      </c>
      <c r="J95" s="9">
        <v>240572</v>
      </c>
      <c r="K95" s="9">
        <v>0</v>
      </c>
      <c r="L95" s="9">
        <v>0</v>
      </c>
      <c r="M95" s="9">
        <f>15779*60/5</f>
        <v>189348</v>
      </c>
      <c r="N95" s="9">
        <v>0</v>
      </c>
      <c r="O95" s="9">
        <v>0</v>
      </c>
      <c r="P95" s="9">
        <v>0</v>
      </c>
      <c r="Q95" s="9">
        <v>0</v>
      </c>
      <c r="R95" s="16">
        <v>0</v>
      </c>
      <c r="S95" s="26">
        <v>15028</v>
      </c>
      <c r="T95" s="33">
        <v>0</v>
      </c>
      <c r="U95" s="33">
        <v>0</v>
      </c>
      <c r="V95" s="33">
        <v>0</v>
      </c>
      <c r="W95" s="33">
        <v>0</v>
      </c>
      <c r="X95" s="25">
        <v>0</v>
      </c>
      <c r="Y95" s="16">
        <v>15.7</v>
      </c>
      <c r="Z95" s="20">
        <f>(T95+U95+V95+W95)*Y95</f>
        <v>0</v>
      </c>
      <c r="AA95" s="21">
        <v>3006</v>
      </c>
      <c r="AB95" s="21">
        <v>0</v>
      </c>
      <c r="AC95" s="33">
        <v>0</v>
      </c>
      <c r="AD95" s="27">
        <v>80</v>
      </c>
      <c r="AE95" s="25">
        <f>(AA95+AB95+AC95)*AD95</f>
        <v>240480</v>
      </c>
      <c r="AF95" s="19">
        <f>C95+D95+E95+F95+G95+H95+I95+J95+K95+L95+M95+N95+O95+P95+Q95+X95+Z95+AE95</f>
        <v>2915066.25</v>
      </c>
      <c r="AG95" s="9">
        <f>AF95/15500</f>
        <v>188.06879032258064</v>
      </c>
      <c r="AH95" s="9">
        <f>AG95/12</f>
        <v>15.672399193548387</v>
      </c>
    </row>
    <row r="96" spans="1:34" x14ac:dyDescent="0.25">
      <c r="A96" s="29" t="s">
        <v>109</v>
      </c>
      <c r="B96" s="28">
        <v>2113825</v>
      </c>
      <c r="C96" s="22">
        <f>B96+(B96*0.05)</f>
        <v>2219516.25</v>
      </c>
      <c r="D96" s="22">
        <v>25150</v>
      </c>
      <c r="E96" s="22">
        <v>0</v>
      </c>
      <c r="F96" s="20">
        <v>0</v>
      </c>
      <c r="G96" s="20">
        <v>0</v>
      </c>
      <c r="H96" s="20">
        <v>0</v>
      </c>
      <c r="I96" s="20">
        <v>0</v>
      </c>
      <c r="J96" s="9">
        <v>240572</v>
      </c>
      <c r="K96" s="9">
        <v>0</v>
      </c>
      <c r="L96" s="9">
        <f>16275*60/5</f>
        <v>195300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16">
        <v>0</v>
      </c>
      <c r="S96" s="26">
        <v>15500</v>
      </c>
      <c r="T96" s="33">
        <f>-(S96*0.03)</f>
        <v>-465</v>
      </c>
      <c r="U96" s="33">
        <v>0</v>
      </c>
      <c r="V96" s="33">
        <v>0</v>
      </c>
      <c r="W96" s="33">
        <v>0</v>
      </c>
      <c r="X96" s="25">
        <v>0</v>
      </c>
      <c r="Y96" s="16">
        <v>15.7</v>
      </c>
      <c r="Z96" s="20">
        <f>(T96+U96+V96+W96)*Y96</f>
        <v>-7300.5</v>
      </c>
      <c r="AA96" s="21">
        <v>3100</v>
      </c>
      <c r="AB96" s="21">
        <v>0</v>
      </c>
      <c r="AC96" s="33">
        <v>0</v>
      </c>
      <c r="AD96" s="27">
        <v>80</v>
      </c>
      <c r="AE96" s="25">
        <f>(AA96+AB96+AC96)*AD96</f>
        <v>248000</v>
      </c>
      <c r="AF96" s="19">
        <f>C96+D96+E96+F96+G96+H96+I96+J96+K96+L96+M96+N96+O96+P96+Q96+X96+Z96+AE96</f>
        <v>2921237.75</v>
      </c>
      <c r="AG96" s="9">
        <f>AF96/15500</f>
        <v>188.46695161290322</v>
      </c>
      <c r="AH96" s="9">
        <f>AG96/12</f>
        <v>15.705579301075268</v>
      </c>
    </row>
    <row r="97" spans="1:34" x14ac:dyDescent="0.25">
      <c r="A97" s="29" t="s">
        <v>108</v>
      </c>
      <c r="B97" s="28">
        <v>2113825</v>
      </c>
      <c r="C97" s="22">
        <f>B97+(B97*0.05)</f>
        <v>2219516.25</v>
      </c>
      <c r="D97" s="22">
        <v>25150</v>
      </c>
      <c r="E97" s="22">
        <v>0</v>
      </c>
      <c r="F97" s="20">
        <v>0</v>
      </c>
      <c r="G97" s="20">
        <v>0</v>
      </c>
      <c r="H97" s="20">
        <v>0</v>
      </c>
      <c r="I97" s="20">
        <v>0</v>
      </c>
      <c r="J97" s="9">
        <v>240572</v>
      </c>
      <c r="K97" s="9">
        <v>0</v>
      </c>
      <c r="L97" s="9">
        <f>16275*60/5</f>
        <v>195300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16">
        <v>0</v>
      </c>
      <c r="S97" s="26">
        <v>15500</v>
      </c>
      <c r="T97" s="33">
        <v>0</v>
      </c>
      <c r="U97" s="33">
        <v>0</v>
      </c>
      <c r="V97" s="33">
        <v>0</v>
      </c>
      <c r="W97" s="33">
        <v>0</v>
      </c>
      <c r="X97" s="25">
        <v>0</v>
      </c>
      <c r="Y97" s="16">
        <v>15.7</v>
      </c>
      <c r="Z97" s="20">
        <f>(T97+U97+V97+W97)*Y97</f>
        <v>0</v>
      </c>
      <c r="AA97" s="21">
        <v>3100</v>
      </c>
      <c r="AB97" s="21">
        <v>0</v>
      </c>
      <c r="AC97" s="33">
        <v>0</v>
      </c>
      <c r="AD97" s="27">
        <v>80</v>
      </c>
      <c r="AE97" s="25">
        <f>(AA97+AB97+AC97)*AD97</f>
        <v>248000</v>
      </c>
      <c r="AF97" s="19">
        <f>C97+D97+E97+F97+G97+H97+I97+J97+K97+L97+M97+N97+O97+P97+Q97+X97+Z97+AE97</f>
        <v>2928538.25</v>
      </c>
      <c r="AG97" s="9">
        <f>AF97/15500</f>
        <v>188.93795161290322</v>
      </c>
      <c r="AH97" s="9">
        <f>AG97/12</f>
        <v>15.744829301075269</v>
      </c>
    </row>
    <row r="98" spans="1:34" x14ac:dyDescent="0.25">
      <c r="A98" s="31" t="s">
        <v>57</v>
      </c>
      <c r="B98" s="27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0">
        <v>0</v>
      </c>
      <c r="I98" s="25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/>
      <c r="R98" s="16" t="s">
        <v>79</v>
      </c>
      <c r="S98" s="26">
        <v>15500</v>
      </c>
      <c r="T98" s="33">
        <v>0</v>
      </c>
      <c r="U98" s="33">
        <v>0</v>
      </c>
      <c r="V98" s="33">
        <v>-93</v>
      </c>
      <c r="W98" s="33">
        <v>0</v>
      </c>
      <c r="X98" s="9">
        <f>(13175*207)+(2325*173.4)</f>
        <v>3130380</v>
      </c>
      <c r="Y98" s="16">
        <v>0</v>
      </c>
      <c r="Z98" s="20">
        <f>(S98+T98+U98+V98+W98)*Y98</f>
        <v>0</v>
      </c>
      <c r="AA98" s="21">
        <v>3100</v>
      </c>
      <c r="AB98" s="21">
        <f>AA98*0.03</f>
        <v>93</v>
      </c>
      <c r="AC98" s="33">
        <v>0</v>
      </c>
      <c r="AD98" s="27">
        <v>0</v>
      </c>
      <c r="AE98" s="25">
        <f>(AA98+AB98+AC98)*AD98</f>
        <v>0</v>
      </c>
      <c r="AF98" s="19">
        <f>C98+E98+F98+G98+H98+I98+J98+K98+L98+M98+N98+O98+P98+Q98+X98+Z98+AE98</f>
        <v>3130380</v>
      </c>
      <c r="AG98" s="9">
        <f>AF98/15500</f>
        <v>201.96</v>
      </c>
      <c r="AH98" s="9">
        <f>AG98/12</f>
        <v>16.830000000000002</v>
      </c>
    </row>
  </sheetData>
  <sortState ref="A6:AH98">
    <sortCondition ref="AH6"/>
  </sortState>
  <mergeCells count="1">
    <mergeCell ref="A1:A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Estimated Capital Outlays</vt:lpstr>
      <vt:lpstr>Proforma Costs</vt:lpstr>
      <vt:lpstr>Proforma Costs Low to Hi</vt:lpstr>
      <vt:lpstr>'Estimated Capital Outlays'!Print_Area</vt:lpstr>
      <vt:lpstr>'Proforma Costs'!Print_Area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Kickel</dc:creator>
  <cp:lastModifiedBy>Joe Kickel</cp:lastModifiedBy>
  <cp:lastPrinted>2019-09-12T21:53:20Z</cp:lastPrinted>
  <dcterms:created xsi:type="dcterms:W3CDTF">2019-05-23T14:33:45Z</dcterms:created>
  <dcterms:modified xsi:type="dcterms:W3CDTF">2019-09-20T15:55:31Z</dcterms:modified>
</cp:coreProperties>
</file>